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drawings/drawing4.xml" ContentType="application/vnd.openxmlformats-officedocument.drawing+xml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embeddings/oleObject7.bin" ContentType="application/vnd.openxmlformats-officedocument.oleObject"/>
  <Override PartName="/xl/comments2.xml" ContentType="application/vnd.openxmlformats-officedocument.spreadsheetml.comments+xml"/>
  <Override PartName="/xl/drawings/drawing6.xml" ContentType="application/vnd.openxmlformats-officedocument.drawing+xml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comments3.xml" ContentType="application/vnd.openxmlformats-officedocument.spreadsheetml.comments+xml"/>
  <Override PartName="/xl/drawings/drawing7.xml" ContentType="application/vnd.openxmlformats-officedocument.drawing+xml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drawings/drawing8.xml" ContentType="application/vnd.openxmlformats-officedocument.drawing+xml"/>
  <Override PartName="/xl/embeddings/oleObject12.bin" ContentType="application/vnd.openxmlformats-officedocument.oleObject"/>
  <Override PartName="/xl/drawings/drawing9.xml" ContentType="application/vnd.openxmlformats-officedocument.drawing+xml"/>
  <Override PartName="/xl/embeddings/oleObject13.bin" ContentType="application/vnd.openxmlformats-officedocument.oleObject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drawings/drawing13.xml" ContentType="application/vnd.openxmlformats-officedocument.drawing+xml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comments5.xml" ContentType="application/vnd.openxmlformats-officedocument.spreadsheetml.comments+xml"/>
  <Override PartName="/xl/drawings/drawing14.xml" ContentType="application/vnd.openxmlformats-officedocument.drawing+xml"/>
  <Override PartName="/xl/embeddings/oleObject18.bin" ContentType="application/vnd.openxmlformats-officedocument.oleObject"/>
  <Override PartName="/xl/drawings/drawing15.xml" ContentType="application/vnd.openxmlformats-officedocument.drawing+xml"/>
  <Override PartName="/xl/embeddings/oleObject19.bin" ContentType="application/vnd.openxmlformats-officedocument.oleObject"/>
  <Override PartName="/xl/drawings/drawing16.xml" ContentType="application/vnd.openxmlformats-officedocument.drawing+xml"/>
  <Override PartName="/xl/embeddings/oleObject20.bin" ContentType="application/vnd.openxmlformats-officedocument.oleObject"/>
  <Override PartName="/xl/drawings/drawing17.xml" ContentType="application/vnd.openxmlformats-officedocument.drawing+xml"/>
  <Override PartName="/xl/embeddings/oleObject21.bin" ContentType="application/vnd.openxmlformats-officedocument.oleObject"/>
  <Override PartName="/xl/drawings/drawing18.xml" ContentType="application/vnd.openxmlformats-officedocument.drawing+xml"/>
  <Override PartName="/xl/embeddings/oleObject22.bin" ContentType="application/vnd.openxmlformats-officedocument.oleObject"/>
  <Override PartName="/xl/drawings/drawing19.xml" ContentType="application/vnd.openxmlformats-officedocument.drawing+xml"/>
  <Override PartName="/xl/embeddings/oleObject2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5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案子\ESM-RAP\Layout\"/>
    </mc:Choice>
  </mc:AlternateContent>
  <xr:revisionPtr revIDLastSave="0" documentId="13_ncr:1_{C6732765-1EEB-46F3-A842-19D28373B5CD}" xr6:coauthVersionLast="47" xr6:coauthVersionMax="47" xr10:uidLastSave="{00000000-0000-0000-0000-000000000000}"/>
  <bookViews>
    <workbookView xWindow="-120" yWindow="-120" windowWidth="29040" windowHeight="15840" tabRatio="790" activeTab="11" xr2:uid="{00000000-000D-0000-FFFF-FFFF00000000}"/>
  </bookViews>
  <sheets>
    <sheet name="Revision History" sheetId="92" r:id="rId1"/>
    <sheet name="Impedance" sheetId="85" r:id="rId2"/>
    <sheet name="PCIeX16" sheetId="89" r:id="rId3"/>
    <sheet name="DDI" sheetId="78" r:id="rId4"/>
    <sheet name="eDP" sheetId="93" r:id="rId5"/>
    <sheet name="LVDS" sheetId="57" r:id="rId6"/>
    <sheet name="VGA" sheetId="71" r:id="rId7"/>
    <sheet name="SATA" sheetId="61" r:id="rId8"/>
    <sheet name="PCIe" sheetId="59" r:id="rId9"/>
    <sheet name="USB" sheetId="67" r:id="rId10"/>
    <sheet name="LAN" sheetId="68" r:id="rId11"/>
    <sheet name="HD_Audio" sheetId="66" r:id="rId12"/>
    <sheet name="LPC" sheetId="90" r:id="rId13"/>
    <sheet name="eSPI" sheetId="98" r:id="rId14"/>
    <sheet name="USB4" sheetId="102" r:id="rId15"/>
    <sheet name="SMB" sheetId="79" r:id="rId16"/>
    <sheet name="Clock" sheetId="101" r:id="rId17"/>
    <sheet name="SPI" sheetId="99" r:id="rId18"/>
    <sheet name="GSPI" sheetId="100" r:id="rId19"/>
    <sheet name="DDR2 Clocks - 2L" sheetId="9" state="hidden" r:id="rId20"/>
    <sheet name="DDR2 Clocks - 4L" sheetId="16" state="hidden" r:id="rId21"/>
    <sheet name="DDR2 Command - 4L" sheetId="22" state="hidden" r:id="rId22"/>
    <sheet name="DDR2 Command - 8LTB" sheetId="23" state="hidden" r:id="rId23"/>
    <sheet name="DDR2 Command - 8LSS" sheetId="27" state="hidden" r:id="rId24"/>
    <sheet name="DDR2 Control - 4L" sheetId="24" state="hidden" r:id="rId25"/>
    <sheet name="DDR2 Strobes - 2x16_1R SODIMM" sheetId="45" state="hidden" r:id="rId26"/>
    <sheet name="DDR2 Data - 2x16_1R SODIMM" sheetId="46" state="hidden" r:id="rId27"/>
    <sheet name="DDR2 Command - 8LTB RS" sheetId="17" state="hidden" r:id="rId28"/>
    <sheet name="DDR2 Control - 4L RS" sheetId="10" state="hidden" r:id="rId29"/>
    <sheet name="DDR2 Control - 8LTB" sheetId="38" state="hidden" r:id="rId30"/>
    <sheet name="DDR2 Control - 8LSS" sheetId="28" state="hidden" r:id="rId31"/>
    <sheet name="DDR2 Strobes - 1x16" sheetId="12" state="hidden" r:id="rId32"/>
    <sheet name="DDR2 Strobes - 2x16" sheetId="18" state="hidden" r:id="rId33"/>
    <sheet name="DDR2 Strobes - 1x8" sheetId="25" state="hidden" r:id="rId34"/>
    <sheet name="DDR2 Data - 1x16" sheetId="13" state="hidden" r:id="rId35"/>
    <sheet name="DDR2 Data - 2x16" sheetId="19" state="hidden" r:id="rId36"/>
    <sheet name="DDR2 Data - 1x8" sheetId="29" state="hidden" r:id="rId37"/>
    <sheet name="DDR2Specs" sheetId="14" state="hidden" r:id="rId38"/>
  </sheets>
  <externalReferences>
    <externalReference r:id="rId39"/>
    <externalReference r:id="rId40"/>
    <externalReference r:id="rId41"/>
    <externalReference r:id="rId42"/>
  </externalReferences>
  <definedNames>
    <definedName name="_xlnm._FilterDatabase" localSheetId="29" hidden="1">'DDR2 Control - 8LTB'!$A$11:$C$11</definedName>
    <definedName name="_M_DATA_A0_2" localSheetId="29">[1]Sheet1!$E$281</definedName>
    <definedName name="_M_DATA_A0_2">[2]Sheet1!$E$281</definedName>
    <definedName name="_M_DATA_A1_2" localSheetId="29">[1]Sheet1!$E$282</definedName>
    <definedName name="_M_DATA_A1_2">[2]Sheet1!$E$282</definedName>
    <definedName name="_M_DATA_A10_2" localSheetId="29">[1]Sheet1!$E$283</definedName>
    <definedName name="_M_DATA_A10_2">[2]Sheet1!$E$283</definedName>
    <definedName name="_M_DATA_A11_2" localSheetId="29">[1]Sheet1!$E$284</definedName>
    <definedName name="_M_DATA_A11_2">[2]Sheet1!$E$284</definedName>
    <definedName name="_M_DATA_A12_2" localSheetId="29">[1]Sheet1!$E$285</definedName>
    <definedName name="_M_DATA_A12_2">[2]Sheet1!$E$285</definedName>
    <definedName name="_M_DATA_A13_2" localSheetId="29">[1]Sheet1!$E$286</definedName>
    <definedName name="_M_DATA_A13_2">[2]Sheet1!$E$286</definedName>
    <definedName name="_M_DATA_A14_2" localSheetId="29">[1]Sheet1!$E$287</definedName>
    <definedName name="_M_DATA_A14_2">[2]Sheet1!$E$287</definedName>
    <definedName name="_M_DATA_A15_2" localSheetId="29">[1]Sheet1!$E$288</definedName>
    <definedName name="_M_DATA_A15_2">[2]Sheet1!$E$288</definedName>
    <definedName name="_M_DATA_A16_2" localSheetId="29">[1]Sheet1!$E$289</definedName>
    <definedName name="_M_DATA_A16_2">[2]Sheet1!$E$289</definedName>
    <definedName name="_M_DATA_A17_2" localSheetId="29">[1]Sheet1!$E$290</definedName>
    <definedName name="_M_DATA_A17_2">[2]Sheet1!$E$290</definedName>
    <definedName name="_M_DATA_A18_2" localSheetId="29">[1]Sheet1!$E$291</definedName>
    <definedName name="_M_DATA_A18_2">[2]Sheet1!$E$291</definedName>
    <definedName name="_M_DATA_A19_2" localSheetId="29">[1]Sheet1!$E$292</definedName>
    <definedName name="_M_DATA_A19_2">[2]Sheet1!$E$292</definedName>
    <definedName name="_M_DATA_A2_2" localSheetId="29">[1]Sheet1!$E$293</definedName>
    <definedName name="_M_DATA_A2_2">[2]Sheet1!$E$293</definedName>
    <definedName name="_M_DATA_A20_2" localSheetId="29">[1]Sheet1!$E$294</definedName>
    <definedName name="_M_DATA_A20_2">[2]Sheet1!$E$294</definedName>
    <definedName name="_M_DATA_A21_2" localSheetId="29">[1]Sheet1!$E$295</definedName>
    <definedName name="_M_DATA_A21_2">[2]Sheet1!$E$295</definedName>
    <definedName name="_M_DATA_A22_2" localSheetId="29">[1]Sheet1!$E$296</definedName>
    <definedName name="_M_DATA_A22_2">[2]Sheet1!$E$296</definedName>
    <definedName name="_M_DATA_A23_2" localSheetId="29">[1]Sheet1!$E$297</definedName>
    <definedName name="_M_DATA_A23_2">[2]Sheet1!$E$297</definedName>
    <definedName name="_M_DATA_A24_2" localSheetId="29">[1]Sheet1!$E$298</definedName>
    <definedName name="_M_DATA_A24_2">[2]Sheet1!$E$298</definedName>
    <definedName name="_M_DATA_A25_2" localSheetId="29">[1]Sheet1!$E$299</definedName>
    <definedName name="_M_DATA_A25_2">[2]Sheet1!$E$299</definedName>
    <definedName name="_M_DATA_A26_2" localSheetId="29">[1]Sheet1!$E$300</definedName>
    <definedName name="_M_DATA_A26_2">[2]Sheet1!$E$300</definedName>
    <definedName name="_M_DATA_A27_2" localSheetId="29">[1]Sheet1!$E$301</definedName>
    <definedName name="_M_DATA_A27_2">[2]Sheet1!$E$301</definedName>
    <definedName name="_M_DATA_A28_2" localSheetId="29">[1]Sheet1!$E$302</definedName>
    <definedName name="_M_DATA_A28_2">[2]Sheet1!$E$302</definedName>
    <definedName name="_M_DATA_A29_2" localSheetId="29">[1]Sheet1!$E$303</definedName>
    <definedName name="_M_DATA_A29_2">[2]Sheet1!$E$303</definedName>
    <definedName name="_M_DATA_A3_2" localSheetId="29">[1]Sheet1!$E$304</definedName>
    <definedName name="_M_DATA_A3_2">[2]Sheet1!$E$304</definedName>
    <definedName name="_M_DATA_A30_2" localSheetId="29">[1]Sheet1!$E$305</definedName>
    <definedName name="_M_DATA_A30_2">[2]Sheet1!$E$305</definedName>
    <definedName name="_M_DATA_A31_2" localSheetId="29">[1]Sheet1!$E$306</definedName>
    <definedName name="_M_DATA_A31_2">[2]Sheet1!$E$306</definedName>
    <definedName name="_M_DATA_A32_2" localSheetId="29">[1]Sheet1!$E$307</definedName>
    <definedName name="_M_DATA_A32_2">[2]Sheet1!$E$307</definedName>
    <definedName name="_M_DATA_A33_2" localSheetId="29">[1]Sheet1!$E$308</definedName>
    <definedName name="_M_DATA_A33_2">[2]Sheet1!$E$308</definedName>
    <definedName name="_M_DATA_A34_2" localSheetId="29">[1]Sheet1!$E$309</definedName>
    <definedName name="_M_DATA_A34_2">[2]Sheet1!$E$309</definedName>
    <definedName name="_M_DATA_A35_2" localSheetId="29">[1]Sheet1!$E$310</definedName>
    <definedName name="_M_DATA_A35_2">[2]Sheet1!$E$310</definedName>
    <definedName name="_M_DATA_A36_2" localSheetId="29">[1]Sheet1!$E$311</definedName>
    <definedName name="_M_DATA_A36_2">[2]Sheet1!$E$311</definedName>
    <definedName name="_M_DATA_A37_2" localSheetId="29">[1]Sheet1!$E$312</definedName>
    <definedName name="_M_DATA_A37_2">[2]Sheet1!$E$312</definedName>
    <definedName name="_M_DATA_A38_2" localSheetId="29">[1]Sheet1!$E$313</definedName>
    <definedName name="_M_DATA_A38_2">[2]Sheet1!$E$313</definedName>
    <definedName name="_M_DATA_A39_2" localSheetId="29">[1]Sheet1!$E$314</definedName>
    <definedName name="_M_DATA_A39_2">[2]Sheet1!$E$314</definedName>
    <definedName name="_M_DATA_A4_2" localSheetId="29">[1]Sheet1!$E$315</definedName>
    <definedName name="_M_DATA_A4_2">[2]Sheet1!$E$315</definedName>
    <definedName name="_M_DATA_A40_2" localSheetId="29">[1]Sheet1!$E$316</definedName>
    <definedName name="_M_DATA_A40_2">[2]Sheet1!$E$316</definedName>
    <definedName name="_M_DATA_A41_2" localSheetId="29">[1]Sheet1!$E$317</definedName>
    <definedName name="_M_DATA_A41_2">[2]Sheet1!$E$317</definedName>
    <definedName name="_M_DATA_A42_2" localSheetId="29">[1]Sheet1!$E$318</definedName>
    <definedName name="_M_DATA_A42_2">[2]Sheet1!$E$318</definedName>
    <definedName name="_M_DATA_A43_2" localSheetId="29">[1]Sheet1!$E$319</definedName>
    <definedName name="_M_DATA_A43_2">[2]Sheet1!$E$319</definedName>
    <definedName name="_M_DATA_A44_2" localSheetId="29">[1]Sheet1!$E$320</definedName>
    <definedName name="_M_DATA_A44_2">[2]Sheet1!$E$320</definedName>
    <definedName name="_M_DATA_A45_2" localSheetId="29">[1]Sheet1!$E$321</definedName>
    <definedName name="_M_DATA_A45_2">[2]Sheet1!$E$321</definedName>
    <definedName name="_M_DATA_A46_2" localSheetId="29">[1]Sheet1!$E$322</definedName>
    <definedName name="_M_DATA_A46_2">[2]Sheet1!$E$322</definedName>
    <definedName name="_M_DATA_A47_2" localSheetId="29">[1]Sheet1!$E$323</definedName>
    <definedName name="_M_DATA_A47_2">[2]Sheet1!$E$323</definedName>
    <definedName name="_M_DATA_A48_2" localSheetId="29">[1]Sheet1!$E$324</definedName>
    <definedName name="_M_DATA_A48_2">[2]Sheet1!$E$324</definedName>
    <definedName name="_M_DATA_A49_2" localSheetId="29">[1]Sheet1!$E$325</definedName>
    <definedName name="_M_DATA_A49_2">[2]Sheet1!$E$325</definedName>
    <definedName name="_M_DATA_A5_2" localSheetId="29">[1]Sheet1!$E$326</definedName>
    <definedName name="_M_DATA_A5_2">[2]Sheet1!$E$326</definedName>
    <definedName name="_M_DATA_A50_2" localSheetId="29">[1]Sheet1!$E$327</definedName>
    <definedName name="_M_DATA_A50_2">[2]Sheet1!$E$327</definedName>
    <definedName name="_M_DATA_A51_2" localSheetId="29">[1]Sheet1!$E$328</definedName>
    <definedName name="_M_DATA_A51_2">[2]Sheet1!$E$328</definedName>
    <definedName name="_M_DATA_A52_2" localSheetId="29">[1]Sheet1!$E$329</definedName>
    <definedName name="_M_DATA_A52_2">[2]Sheet1!$E$329</definedName>
    <definedName name="_M_DATA_A53_2" localSheetId="29">[1]Sheet1!$E$330</definedName>
    <definedName name="_M_DATA_A53_2">[2]Sheet1!$E$330</definedName>
    <definedName name="_M_DATA_A54_2" localSheetId="29">[1]Sheet1!$E$331</definedName>
    <definedName name="_M_DATA_A54_2">[2]Sheet1!$E$331</definedName>
    <definedName name="_M_DATA_A55_2" localSheetId="29">[1]Sheet1!$E$332</definedName>
    <definedName name="_M_DATA_A55_2">[2]Sheet1!$E$332</definedName>
    <definedName name="_M_DATA_A56_2" localSheetId="29">[1]Sheet1!$E$333</definedName>
    <definedName name="_M_DATA_A56_2">[2]Sheet1!$E$333</definedName>
    <definedName name="_M_DATA_A57_2" localSheetId="29">[1]Sheet1!$E$334</definedName>
    <definedName name="_M_DATA_A57_2">[2]Sheet1!$E$334</definedName>
    <definedName name="_M_DATA_A58_2" localSheetId="29">[1]Sheet1!$E$335</definedName>
    <definedName name="_M_DATA_A58_2">[2]Sheet1!$E$335</definedName>
    <definedName name="_M_DATA_A59_2" localSheetId="29">[1]Sheet1!$E$336</definedName>
    <definedName name="_M_DATA_A59_2">[2]Sheet1!$E$336</definedName>
    <definedName name="_M_DATA_A6_2" localSheetId="29">[1]Sheet1!$E$337</definedName>
    <definedName name="_M_DATA_A6_2">[2]Sheet1!$E$337</definedName>
    <definedName name="_M_DATA_A60_2" localSheetId="29">[1]Sheet1!$E$338</definedName>
    <definedName name="_M_DATA_A60_2">[2]Sheet1!$E$338</definedName>
    <definedName name="_M_DATA_A61_2" localSheetId="29">[1]Sheet1!$E$339</definedName>
    <definedName name="_M_DATA_A61_2">[2]Sheet1!$E$339</definedName>
    <definedName name="_M_DATA_A62_2" localSheetId="29">[1]Sheet1!$E$340</definedName>
    <definedName name="_M_DATA_A62_2">[2]Sheet1!$E$340</definedName>
    <definedName name="_M_DATA_A63_2" localSheetId="29">[1]Sheet1!$E$341</definedName>
    <definedName name="_M_DATA_A63_2">[2]Sheet1!$E$341</definedName>
    <definedName name="_M_DATA_A7_2" localSheetId="29">[1]Sheet1!$E$342</definedName>
    <definedName name="_M_DATA_A7_2">[2]Sheet1!$E$342</definedName>
    <definedName name="_M_DATA_A8_2" localSheetId="29">[1]Sheet1!$E$343</definedName>
    <definedName name="_M_DATA_A8_2">[2]Sheet1!$E$343</definedName>
    <definedName name="_M_DATA_A9_2" localSheetId="29">[1]Sheet1!$E$344</definedName>
    <definedName name="_M_DATA_A9_2">[2]Sheet1!$E$344</definedName>
    <definedName name="_M_DQM_A0_2" localSheetId="29">[1]Sheet1!$E$346</definedName>
    <definedName name="_M_DQM_A0_2">[2]Sheet1!$E$346</definedName>
    <definedName name="_M_DQM_A1_2" localSheetId="29">[1]Sheet1!$E$347</definedName>
    <definedName name="_M_DQM_A1_2">[2]Sheet1!$E$347</definedName>
    <definedName name="_M_DQM_A2_2" localSheetId="29">[1]Sheet1!$E$348</definedName>
    <definedName name="_M_DQM_A2_2">[2]Sheet1!$E$348</definedName>
    <definedName name="_M_DQM_A3_2" localSheetId="29">[1]Sheet1!$E$349</definedName>
    <definedName name="_M_DQM_A3_2">[2]Sheet1!$E$349</definedName>
    <definedName name="_M_DQM_A4_2" localSheetId="29">[1]Sheet1!$E$350</definedName>
    <definedName name="_M_DQM_A4_2">[2]Sheet1!$E$350</definedName>
    <definedName name="_M_DQM_A5_2" localSheetId="29">[1]Sheet1!$E$351</definedName>
    <definedName name="_M_DQM_A5_2">[2]Sheet1!$E$351</definedName>
    <definedName name="_M_DQM_A6_2" localSheetId="29">[1]Sheet1!$E$352</definedName>
    <definedName name="_M_DQM_A6_2">[2]Sheet1!$E$352</definedName>
    <definedName name="_M_DQM_A7_2" localSheetId="29">[1]Sheet1!$E$353</definedName>
    <definedName name="_M_DQM_A7_2">[2]Sheet1!$E$353</definedName>
    <definedName name="_M_DQS_A_0_2" localSheetId="29">[1]Sheet1!$E$355</definedName>
    <definedName name="_M_DQS_A_0_2">[2]Sheet1!$E$355</definedName>
    <definedName name="_M_DQS_A_1_2" localSheetId="29">[1]Sheet1!$E$356</definedName>
    <definedName name="_M_DQS_A_1_2">[2]Sheet1!$E$356</definedName>
    <definedName name="_M_DQS_A_2_2" localSheetId="29">[1]Sheet1!$E$357</definedName>
    <definedName name="_M_DQS_A_2_2">[2]Sheet1!$E$357</definedName>
    <definedName name="_M_DQS_A_3_2" localSheetId="29">[1]Sheet1!$E$358</definedName>
    <definedName name="_M_DQS_A_3_2">[2]Sheet1!$E$358</definedName>
    <definedName name="_M_DQS_A_4_2" localSheetId="29">[1]Sheet1!$E$359</definedName>
    <definedName name="_M_DQS_A_4_2">[2]Sheet1!$E$359</definedName>
    <definedName name="_M_DQS_A_5_2" localSheetId="29">[1]Sheet1!$E$360</definedName>
    <definedName name="_M_DQS_A_5_2">[2]Sheet1!$E$360</definedName>
    <definedName name="_M_DQS_A_6_2" localSheetId="29">[1]Sheet1!$E$361</definedName>
    <definedName name="_M_DQS_A_6_2">[2]Sheet1!$E$361</definedName>
    <definedName name="_M_DQS_A_7_2" localSheetId="29">[1]Sheet1!$E$362</definedName>
    <definedName name="_M_DQS_A_7_2">[2]Sheet1!$E$362</definedName>
    <definedName name="_M_DQS_A0_2" localSheetId="29">[1]Sheet1!$E$363</definedName>
    <definedName name="_M_DQS_A0_2">[2]Sheet1!$E$363</definedName>
    <definedName name="_M_DQS_A1_2" localSheetId="29">[1]Sheet1!$E$364</definedName>
    <definedName name="_M_DQS_A1_2">[2]Sheet1!$E$364</definedName>
    <definedName name="_M_DQS_A2_2" localSheetId="29">[1]Sheet1!$E$365</definedName>
    <definedName name="_M_DQS_A2_2">[2]Sheet1!$E$365</definedName>
    <definedName name="_M_DQS_A3_2" localSheetId="29">[1]Sheet1!$E$366</definedName>
    <definedName name="_M_DQS_A3_2">[2]Sheet1!$E$366</definedName>
    <definedName name="_M_DQS_A4_2" localSheetId="29">[1]Sheet1!$E$367</definedName>
    <definedName name="_M_DQS_A4_2">[2]Sheet1!$E$367</definedName>
    <definedName name="_M_DQS_A5_2" localSheetId="29">[1]Sheet1!$E$368</definedName>
    <definedName name="_M_DQS_A5_2">[2]Sheet1!$E$368</definedName>
    <definedName name="_M_DQS_A6_2" localSheetId="29">[1]Sheet1!$E$369</definedName>
    <definedName name="_M_DQS_A6_2">[2]Sheet1!$E$369</definedName>
    <definedName name="_M_DQS_A7_2" localSheetId="29">[1]Sheet1!$E$370</definedName>
    <definedName name="_M_DQS_A7_2">[2]Sheet1!$E$370</definedName>
    <definedName name="aaa">#REF!</definedName>
    <definedName name="aaaaa">#REF!</definedName>
    <definedName name="COMPLACEMENT">#REF!</definedName>
    <definedName name="CompPlacement" localSheetId="13">#REF!</definedName>
    <definedName name="CompPlacement" localSheetId="18">#REF!</definedName>
    <definedName name="CompPlacement" localSheetId="12">#REF!</definedName>
    <definedName name="CompPlacement" localSheetId="17">#REF!</definedName>
    <definedName name="CompPlacement">#REF!</definedName>
    <definedName name="CompType" localSheetId="13">#REF!</definedName>
    <definedName name="CompType" localSheetId="18">#REF!</definedName>
    <definedName name="CompType" localSheetId="12">#REF!</definedName>
    <definedName name="CompType" localSheetId="17">#REF!</definedName>
    <definedName name="CompType">#REF!</definedName>
    <definedName name="COMPTYPE2">#REF!</definedName>
    <definedName name="CtlMDU1Clk">'DDR2 Control - 4L'!$T$18</definedName>
    <definedName name="CtlMDU1Clkn">'DDR2 Control - 4L'!$U$18</definedName>
    <definedName name="CtlMDU2Clk">'DDR2 Control - 4L'!$T$30</definedName>
    <definedName name="CtlMDU2Clkn">'DDR2 Control - 4L'!$U$30</definedName>
    <definedName name="CtlMDU3Clk">'DDR2 Control - 4L'!$T$42</definedName>
    <definedName name="CtlMDU3Clkn">'DDR2 Control - 4L'!$U$42</definedName>
    <definedName name="CtlMDU4Clk">'DDR2 Control - 4L'!$T$54</definedName>
    <definedName name="CtlMDU4Clkn">'DDR2 Control - 4L'!$U$54</definedName>
    <definedName name="CtlPassFail">'DDR2 Control - 4L'!$F$1</definedName>
    <definedName name="CtlSODIMMClk">'DDR2 Control - 4L'!$Q$5</definedName>
    <definedName name="CtlSODIMMClkn">'DDR2 Control - 4L'!$R$5</definedName>
    <definedName name="MeasureUnits" localSheetId="29">[3]DDR2Instructions!$D$42</definedName>
    <definedName name="MeasureUnits" localSheetId="13">#REF!</definedName>
    <definedName name="MeasureUnits" localSheetId="18">#REF!</definedName>
    <definedName name="MeasureUnits" localSheetId="12">#REF!</definedName>
    <definedName name="MeasureUnits" localSheetId="17">#REF!</definedName>
    <definedName name="MeasureUnits">#REF!</definedName>
    <definedName name="MEASUREUNITS2">#REF!</definedName>
    <definedName name="PCB">#REF!</definedName>
    <definedName name="SDR">#REF!</definedName>
    <definedName name="SDRAM">#REF!</definedName>
    <definedName name="SDRAMArray" localSheetId="13">#REF!</definedName>
    <definedName name="SDRAMArray" localSheetId="18">#REF!</definedName>
    <definedName name="SDRAMArray" localSheetId="12">#REF!</definedName>
    <definedName name="SDRAMArray" localSheetId="17">#REF!</definedName>
    <definedName name="SDRAMArray">#REF!</definedName>
    <definedName name="SDRAMArrayStart" localSheetId="13">#REF!</definedName>
    <definedName name="SDRAMArrayStart" localSheetId="18">#REF!</definedName>
    <definedName name="SDRAMArrayStart" localSheetId="12">#REF!</definedName>
    <definedName name="SDRAMArrayStart" localSheetId="17">#REF!</definedName>
    <definedName name="SDRAMArrayStart">#REF!</definedName>
    <definedName name="SDRAMDQSLen">'DDR2 Strobes - 1x8'!$Z$7</definedName>
    <definedName name="SODIMMS">#REF!</definedName>
    <definedName name="SODIMMSupport" localSheetId="13">#REF!</definedName>
    <definedName name="SODIMMSupport" localSheetId="18">#REF!</definedName>
    <definedName name="SODIMMSupport" localSheetId="12">#REF!</definedName>
    <definedName name="SODIMMSupport" localSheetId="17">#REF!</definedName>
    <definedName name="SODIMMSupport">#REF!</definedName>
    <definedName name="StrbTitle">'DDR2 Strobes - 1x8'!$A$3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8" i="102" l="1"/>
  <c r="E8" i="102"/>
  <c r="E7" i="102"/>
  <c r="G4" i="102"/>
  <c r="E4" i="102"/>
  <c r="E3" i="102"/>
  <c r="G4" i="101"/>
  <c r="E4" i="101"/>
  <c r="E3" i="101"/>
  <c r="G6" i="100"/>
  <c r="E6" i="100"/>
  <c r="G5" i="100"/>
  <c r="E5" i="100"/>
  <c r="E4" i="100"/>
  <c r="E3" i="100"/>
  <c r="G6" i="99"/>
  <c r="E6" i="99"/>
  <c r="G5" i="99"/>
  <c r="E5" i="99"/>
  <c r="E4" i="99"/>
  <c r="E3" i="99"/>
  <c r="E10" i="98"/>
  <c r="E9" i="98"/>
  <c r="E8" i="98"/>
  <c r="E7" i="98"/>
  <c r="E6" i="98"/>
  <c r="E5" i="98"/>
  <c r="E4" i="98"/>
  <c r="E3" i="98"/>
  <c r="G7" i="98" l="1"/>
  <c r="G6" i="98"/>
  <c r="G5" i="98"/>
  <c r="G4" i="98"/>
  <c r="E7" i="61"/>
  <c r="E8" i="61"/>
  <c r="E9" i="61"/>
  <c r="E10" i="61"/>
  <c r="G9" i="90" l="1"/>
  <c r="E9" i="90"/>
  <c r="E4" i="79"/>
  <c r="E3" i="79"/>
  <c r="E8" i="90"/>
  <c r="E7" i="90"/>
  <c r="E6" i="90"/>
  <c r="E5" i="90"/>
  <c r="E4" i="90"/>
  <c r="E3" i="90"/>
  <c r="E3" i="71"/>
  <c r="E4" i="71"/>
  <c r="E5" i="71"/>
  <c r="E6" i="71"/>
  <c r="E7" i="71"/>
  <c r="E8" i="71"/>
  <c r="E9" i="71"/>
  <c r="E3" i="78"/>
  <c r="E4" i="78"/>
  <c r="E5" i="78"/>
  <c r="E6" i="78"/>
  <c r="E7" i="78"/>
  <c r="E8" i="78"/>
  <c r="E9" i="78"/>
  <c r="E10" i="78"/>
  <c r="G5" i="93" l="1"/>
  <c r="G12" i="93" l="1"/>
  <c r="E12" i="93"/>
  <c r="E11" i="93"/>
  <c r="G10" i="93"/>
  <c r="E10" i="93"/>
  <c r="G9" i="93"/>
  <c r="E9" i="93"/>
  <c r="G8" i="93"/>
  <c r="E8" i="93"/>
  <c r="G7" i="93"/>
  <c r="E7" i="93"/>
  <c r="G6" i="93"/>
  <c r="E6" i="93"/>
  <c r="E5" i="93"/>
  <c r="G4" i="93"/>
  <c r="E4" i="93"/>
  <c r="E3" i="93"/>
  <c r="G24" i="57"/>
  <c r="G4" i="90"/>
  <c r="G7" i="90"/>
  <c r="G6" i="90"/>
  <c r="G8" i="90"/>
  <c r="G5" i="90"/>
  <c r="E6" i="61"/>
  <c r="E5" i="61"/>
  <c r="E4" i="61"/>
  <c r="E3" i="61"/>
  <c r="E10" i="68"/>
  <c r="E9" i="68"/>
  <c r="E8" i="68"/>
  <c r="E7" i="68"/>
  <c r="E6" i="68"/>
  <c r="E5" i="68"/>
  <c r="E4" i="68"/>
  <c r="E3" i="68"/>
  <c r="E9" i="66"/>
  <c r="E7" i="66"/>
  <c r="E6" i="66"/>
  <c r="E5" i="66"/>
  <c r="E4" i="66"/>
  <c r="E3" i="66"/>
  <c r="E38" i="67"/>
  <c r="E37" i="67"/>
  <c r="E36" i="67"/>
  <c r="E35" i="67"/>
  <c r="E34" i="67"/>
  <c r="E33" i="67"/>
  <c r="E32" i="67"/>
  <c r="E31" i="67"/>
  <c r="E30" i="67"/>
  <c r="E29" i="67"/>
  <c r="E28" i="67"/>
  <c r="E27" i="67"/>
  <c r="E26" i="67"/>
  <c r="E25" i="67"/>
  <c r="E24" i="67"/>
  <c r="E23" i="67"/>
  <c r="E19" i="67"/>
  <c r="E18" i="67"/>
  <c r="E17" i="67"/>
  <c r="E16" i="67"/>
  <c r="E15" i="67"/>
  <c r="E14" i="67"/>
  <c r="E13" i="67"/>
  <c r="E12" i="67"/>
  <c r="E11" i="67"/>
  <c r="E10" i="67"/>
  <c r="E9" i="67"/>
  <c r="E8" i="67"/>
  <c r="E7" i="67"/>
  <c r="E6" i="67"/>
  <c r="E5" i="67"/>
  <c r="E4" i="67"/>
  <c r="E30" i="59"/>
  <c r="E29" i="59"/>
  <c r="E28" i="59"/>
  <c r="E27" i="59"/>
  <c r="E26" i="59"/>
  <c r="E25" i="59"/>
  <c r="E24" i="59"/>
  <c r="E23" i="59"/>
  <c r="E22" i="59"/>
  <c r="E21" i="59"/>
  <c r="E20" i="59"/>
  <c r="E19" i="59"/>
  <c r="E18" i="59"/>
  <c r="E17" i="59"/>
  <c r="E16" i="59"/>
  <c r="E15" i="59"/>
  <c r="E14" i="59"/>
  <c r="E13" i="59"/>
  <c r="E12" i="59"/>
  <c r="E11" i="59"/>
  <c r="E10" i="59"/>
  <c r="E9" i="59"/>
  <c r="E8" i="59"/>
  <c r="E7" i="59"/>
  <c r="E6" i="59"/>
  <c r="E5" i="59"/>
  <c r="E4" i="59"/>
  <c r="E3" i="59"/>
  <c r="E23" i="57"/>
  <c r="E24" i="57"/>
  <c r="E22" i="57"/>
  <c r="E21" i="57"/>
  <c r="E20" i="57"/>
  <c r="E19" i="57"/>
  <c r="E18" i="57"/>
  <c r="E17" i="57"/>
  <c r="E16" i="57"/>
  <c r="E15" i="57"/>
  <c r="E14" i="57"/>
  <c r="E13" i="57"/>
  <c r="E12" i="57"/>
  <c r="E11" i="57"/>
  <c r="E10" i="57"/>
  <c r="E9" i="57"/>
  <c r="E8" i="57"/>
  <c r="E7" i="57"/>
  <c r="E6" i="57"/>
  <c r="E5" i="57"/>
  <c r="E4" i="57"/>
  <c r="E3" i="57"/>
  <c r="E48" i="78"/>
  <c r="E47" i="78"/>
  <c r="E46" i="78"/>
  <c r="E45" i="78"/>
  <c r="E44" i="78"/>
  <c r="E43" i="78"/>
  <c r="E42" i="78"/>
  <c r="E41" i="78"/>
  <c r="E40" i="78"/>
  <c r="E39" i="78"/>
  <c r="E38" i="78"/>
  <c r="E37" i="78"/>
  <c r="E34" i="78"/>
  <c r="E33" i="78"/>
  <c r="E32" i="78"/>
  <c r="E31" i="78"/>
  <c r="E30" i="78"/>
  <c r="E29" i="78"/>
  <c r="E28" i="78"/>
  <c r="E27" i="78"/>
  <c r="E26" i="78"/>
  <c r="E25" i="78"/>
  <c r="E24" i="78"/>
  <c r="E23" i="78"/>
  <c r="E20" i="78"/>
  <c r="E19" i="78"/>
  <c r="E18" i="78"/>
  <c r="E17" i="78"/>
  <c r="E16" i="78"/>
  <c r="E15" i="78"/>
  <c r="E14" i="78"/>
  <c r="E13" i="78"/>
  <c r="E12" i="78"/>
  <c r="E11" i="78"/>
  <c r="G12" i="78"/>
  <c r="G11" i="78"/>
  <c r="E5" i="89"/>
  <c r="G10" i="68"/>
  <c r="G8" i="68"/>
  <c r="G6" i="68"/>
  <c r="G38" i="67"/>
  <c r="G36" i="67"/>
  <c r="G34" i="67"/>
  <c r="G32" i="67"/>
  <c r="G30" i="67"/>
  <c r="G26" i="67"/>
  <c r="G48" i="78"/>
  <c r="G34" i="78"/>
  <c r="G20" i="78"/>
  <c r="G16" i="78"/>
  <c r="G15" i="78"/>
  <c r="G14" i="78"/>
  <c r="G13" i="78"/>
  <c r="G10" i="78"/>
  <c r="G9" i="78"/>
  <c r="G46" i="78"/>
  <c r="G44" i="78"/>
  <c r="G43" i="78"/>
  <c r="G41" i="78"/>
  <c r="G42" i="78"/>
  <c r="G39" i="78"/>
  <c r="G40" i="78"/>
  <c r="G38" i="78"/>
  <c r="G28" i="59"/>
  <c r="G24" i="59"/>
  <c r="G20" i="59"/>
  <c r="G16" i="59"/>
  <c r="G12" i="59"/>
  <c r="G8" i="59"/>
  <c r="G8" i="66"/>
  <c r="B2" i="9"/>
  <c r="P10" i="9"/>
  <c r="AP10" i="9" s="1"/>
  <c r="P11" i="9"/>
  <c r="AP11" i="9" s="1"/>
  <c r="P12" i="9"/>
  <c r="R12" i="9"/>
  <c r="P13" i="9"/>
  <c r="P5" i="9"/>
  <c r="AL5" i="9" s="1"/>
  <c r="P6" i="9"/>
  <c r="R6" i="9"/>
  <c r="AM6" i="9" s="1"/>
  <c r="Q5" i="9"/>
  <c r="S5" i="9" s="1"/>
  <c r="Q6" i="9"/>
  <c r="S6" i="9"/>
  <c r="AO6" i="9" s="1"/>
  <c r="P7" i="9"/>
  <c r="AL7" i="9" s="1"/>
  <c r="P8" i="9"/>
  <c r="R8" i="9" s="1"/>
  <c r="AM8" i="9" s="1"/>
  <c r="Q7" i="9"/>
  <c r="S7" i="9" s="1"/>
  <c r="T110" i="22" s="1"/>
  <c r="Q8" i="9"/>
  <c r="Z13" i="9"/>
  <c r="AA13" i="9"/>
  <c r="AB13" i="9"/>
  <c r="T13" i="9"/>
  <c r="Z12" i="9"/>
  <c r="AA12" i="9"/>
  <c r="AB12" i="9"/>
  <c r="AP12" i="9"/>
  <c r="T12" i="9"/>
  <c r="W5" i="9"/>
  <c r="Z5" i="9"/>
  <c r="AA5" i="9"/>
  <c r="AG5" i="9"/>
  <c r="AH5" i="9"/>
  <c r="AI5" i="9"/>
  <c r="AJ5" i="9"/>
  <c r="AK5" i="9"/>
  <c r="AN5" i="9"/>
  <c r="T5" i="9"/>
  <c r="W6" i="9"/>
  <c r="Y6" i="9" s="1"/>
  <c r="Z6" i="9"/>
  <c r="AA6" i="9"/>
  <c r="AG6" i="9"/>
  <c r="AH6" i="9"/>
  <c r="AI6" i="9"/>
  <c r="AJ6" i="9"/>
  <c r="AK6" i="9"/>
  <c r="AL6" i="9"/>
  <c r="AN6" i="9"/>
  <c r="T6" i="9"/>
  <c r="W7" i="9"/>
  <c r="X7" i="9" s="1"/>
  <c r="Z7" i="9"/>
  <c r="AA7" i="9"/>
  <c r="AG7" i="9"/>
  <c r="AH7" i="9"/>
  <c r="AI7" i="9"/>
  <c r="AJ7" i="9"/>
  <c r="AK7" i="9"/>
  <c r="AN7" i="9"/>
  <c r="T7" i="9"/>
  <c r="W8" i="9"/>
  <c r="Z8" i="9"/>
  <c r="AA8" i="9"/>
  <c r="AG8" i="9"/>
  <c r="AH8" i="9"/>
  <c r="AI8" i="9"/>
  <c r="AJ8" i="9"/>
  <c r="AK8" i="9"/>
  <c r="AL8" i="9"/>
  <c r="T8" i="9"/>
  <c r="Z10" i="9"/>
  <c r="AA10" i="9"/>
  <c r="AB10" i="9"/>
  <c r="T10" i="9"/>
  <c r="Z11" i="9"/>
  <c r="AA11" i="9"/>
  <c r="AB11" i="9"/>
  <c r="T11" i="9"/>
  <c r="AP3" i="9"/>
  <c r="AA9" i="9"/>
  <c r="AO3" i="9"/>
  <c r="AN3" i="9"/>
  <c r="AM3" i="9"/>
  <c r="AL3" i="9"/>
  <c r="Z3" i="9"/>
  <c r="AF3" i="9"/>
  <c r="AE3" i="9"/>
  <c r="AD3" i="9"/>
  <c r="AC3" i="9"/>
  <c r="AQ3" i="9"/>
  <c r="AB3" i="9"/>
  <c r="AB9" i="9"/>
  <c r="AT3" i="9"/>
  <c r="AS3" i="9"/>
  <c r="AR3" i="9"/>
  <c r="G9" i="9"/>
  <c r="Z9" i="9"/>
  <c r="E9" i="9"/>
  <c r="D9" i="9"/>
  <c r="F9" i="9"/>
  <c r="F3" i="9"/>
  <c r="W3" i="9"/>
  <c r="T3" i="9"/>
  <c r="D3" i="9"/>
  <c r="E3" i="9"/>
  <c r="G3" i="9"/>
  <c r="H3" i="9"/>
  <c r="I3" i="9"/>
  <c r="J3" i="9"/>
  <c r="K3" i="9"/>
  <c r="L3" i="9"/>
  <c r="M3" i="9"/>
  <c r="N3" i="9"/>
  <c r="O3" i="9"/>
  <c r="P3" i="9"/>
  <c r="Q3" i="9"/>
  <c r="R3" i="9"/>
  <c r="S3" i="9"/>
  <c r="U3" i="9"/>
  <c r="V3" i="9"/>
  <c r="X3" i="9"/>
  <c r="Y3" i="9"/>
  <c r="AA3" i="9"/>
  <c r="AG3" i="9"/>
  <c r="AH3" i="9"/>
  <c r="AI3" i="9"/>
  <c r="AJ3" i="9"/>
  <c r="AK3" i="9"/>
  <c r="N22" i="16"/>
  <c r="AE22" i="16" s="1"/>
  <c r="N23" i="16"/>
  <c r="N24" i="16"/>
  <c r="N25" i="16"/>
  <c r="O25" i="16" s="1"/>
  <c r="N5" i="16"/>
  <c r="O5" i="16" s="1"/>
  <c r="N6" i="16"/>
  <c r="D9" i="16"/>
  <c r="E9" i="16"/>
  <c r="F9" i="16"/>
  <c r="D10" i="16"/>
  <c r="E10" i="16"/>
  <c r="F10" i="16"/>
  <c r="N13" i="16"/>
  <c r="AC13" i="16" s="1"/>
  <c r="N14" i="16"/>
  <c r="D17" i="16"/>
  <c r="E17" i="16"/>
  <c r="F17" i="16"/>
  <c r="D18" i="16"/>
  <c r="E18" i="16"/>
  <c r="F18" i="16"/>
  <c r="B2" i="16"/>
  <c r="O6" i="16" s="1"/>
  <c r="D7" i="16"/>
  <c r="E7" i="16"/>
  <c r="F7" i="16"/>
  <c r="H7" i="16"/>
  <c r="D8" i="16"/>
  <c r="E8" i="16"/>
  <c r="F8" i="16"/>
  <c r="H8" i="16"/>
  <c r="D11" i="16"/>
  <c r="E11" i="16"/>
  <c r="F11" i="16"/>
  <c r="N11" i="16" s="1"/>
  <c r="AC11" i="16" s="1"/>
  <c r="H11" i="16"/>
  <c r="D12" i="16"/>
  <c r="E12" i="16"/>
  <c r="F12" i="16"/>
  <c r="H12" i="16"/>
  <c r="D15" i="16"/>
  <c r="E15" i="16"/>
  <c r="F15" i="16"/>
  <c r="H15" i="16"/>
  <c r="D16" i="16"/>
  <c r="E16" i="16"/>
  <c r="F16" i="16"/>
  <c r="H16" i="16"/>
  <c r="D19" i="16"/>
  <c r="E19" i="16"/>
  <c r="F19" i="16"/>
  <c r="H19" i="16"/>
  <c r="D20" i="16"/>
  <c r="E20" i="16"/>
  <c r="F20" i="16"/>
  <c r="H20" i="16"/>
  <c r="N3" i="16"/>
  <c r="L20" i="16"/>
  <c r="K20" i="16"/>
  <c r="G20" i="16"/>
  <c r="L19" i="16"/>
  <c r="K19" i="16"/>
  <c r="G19" i="16"/>
  <c r="G18" i="16"/>
  <c r="G17" i="16"/>
  <c r="L16" i="16"/>
  <c r="K16" i="16"/>
  <c r="G16" i="16"/>
  <c r="L15" i="16"/>
  <c r="K15" i="16"/>
  <c r="G15" i="16"/>
  <c r="L12" i="16"/>
  <c r="K12" i="16"/>
  <c r="G12" i="16"/>
  <c r="L11" i="16"/>
  <c r="K11" i="16"/>
  <c r="G11" i="16"/>
  <c r="G10" i="16"/>
  <c r="G9" i="16"/>
  <c r="L8" i="16"/>
  <c r="K8" i="16"/>
  <c r="G8" i="16"/>
  <c r="L7" i="16"/>
  <c r="K7" i="16"/>
  <c r="G7" i="16"/>
  <c r="AE3" i="16"/>
  <c r="T24" i="16"/>
  <c r="W17" i="16"/>
  <c r="W13" i="16"/>
  <c r="W6" i="16"/>
  <c r="U3" i="16"/>
  <c r="AB8" i="16"/>
  <c r="AB12" i="16"/>
  <c r="AB19" i="16"/>
  <c r="U25" i="16"/>
  <c r="S5" i="16"/>
  <c r="Z18" i="16"/>
  <c r="Z6" i="16"/>
  <c r="F21" i="16"/>
  <c r="P5" i="16"/>
  <c r="Q5" i="16"/>
  <c r="V6" i="16"/>
  <c r="X6" i="16"/>
  <c r="P6" i="16"/>
  <c r="X7" i="16"/>
  <c r="P7" i="16"/>
  <c r="X8" i="16"/>
  <c r="P8" i="16"/>
  <c r="X9" i="16"/>
  <c r="P9" i="16"/>
  <c r="X10" i="16"/>
  <c r="P10" i="16"/>
  <c r="X11" i="16"/>
  <c r="P11" i="16"/>
  <c r="P12" i="16"/>
  <c r="T13" i="16"/>
  <c r="X13" i="16"/>
  <c r="P13" i="16"/>
  <c r="T14" i="16"/>
  <c r="V14" i="16"/>
  <c r="P14" i="16"/>
  <c r="P15" i="16"/>
  <c r="X16" i="16"/>
  <c r="P16" i="16"/>
  <c r="P17" i="16"/>
  <c r="P18" i="16"/>
  <c r="X19" i="16"/>
  <c r="P19" i="16"/>
  <c r="P20" i="16"/>
  <c r="P22" i="16"/>
  <c r="X3" i="16"/>
  <c r="V3" i="16"/>
  <c r="P23" i="16"/>
  <c r="P24" i="16"/>
  <c r="P25" i="16"/>
  <c r="F3" i="16"/>
  <c r="H3" i="16"/>
  <c r="L3" i="16"/>
  <c r="Q3" i="16"/>
  <c r="B2" i="22"/>
  <c r="AC101" i="22" s="1"/>
  <c r="AC94" i="22"/>
  <c r="AC53" i="22"/>
  <c r="AC47" i="22"/>
  <c r="AC45" i="22"/>
  <c r="AC40" i="22"/>
  <c r="AC36" i="22"/>
  <c r="AC35" i="22"/>
  <c r="AB54" i="22"/>
  <c r="AB51" i="22"/>
  <c r="AB46" i="22"/>
  <c r="AB45" i="22"/>
  <c r="AB42" i="22"/>
  <c r="AB41" i="22"/>
  <c r="AB38" i="22"/>
  <c r="AB37" i="22"/>
  <c r="AB34" i="22"/>
  <c r="AB30" i="22"/>
  <c r="R133" i="22"/>
  <c r="R132" i="22"/>
  <c r="S132" i="22"/>
  <c r="R131" i="22"/>
  <c r="R129" i="22"/>
  <c r="S129" i="22" s="1"/>
  <c r="R128" i="22"/>
  <c r="R127" i="22"/>
  <c r="R125" i="22"/>
  <c r="R124" i="22"/>
  <c r="R123" i="22"/>
  <c r="S123" i="22" s="1"/>
  <c r="R122" i="22"/>
  <c r="R121" i="22"/>
  <c r="R120" i="22"/>
  <c r="AH120" i="22" s="1"/>
  <c r="R119" i="22"/>
  <c r="R118" i="22"/>
  <c r="R117" i="22"/>
  <c r="R116" i="22"/>
  <c r="R115" i="22"/>
  <c r="S115" i="22" s="1"/>
  <c r="AI115" i="22" s="1"/>
  <c r="R114" i="22"/>
  <c r="AH114" i="22" s="1"/>
  <c r="R113" i="22"/>
  <c r="AH113" i="22" s="1"/>
  <c r="AI108" i="22"/>
  <c r="R112" i="22"/>
  <c r="AH133" i="22"/>
  <c r="AH127" i="22"/>
  <c r="AH124" i="22"/>
  <c r="AH112" i="22"/>
  <c r="R107" i="22"/>
  <c r="S107" i="22"/>
  <c r="AI107" i="22" s="1"/>
  <c r="R106" i="22"/>
  <c r="S106" i="22" s="1"/>
  <c r="R105" i="22"/>
  <c r="S105" i="22" s="1"/>
  <c r="R103" i="22"/>
  <c r="S103" i="22"/>
  <c r="R102" i="22"/>
  <c r="S102" i="22" s="1"/>
  <c r="R101" i="22"/>
  <c r="R99" i="22"/>
  <c r="AH99" i="22" s="1"/>
  <c r="R98" i="22"/>
  <c r="S98" i="22" s="1"/>
  <c r="R97" i="22"/>
  <c r="R96" i="22"/>
  <c r="AH96" i="22" s="1"/>
  <c r="R95" i="22"/>
  <c r="S95" i="22" s="1"/>
  <c r="R94" i="22"/>
  <c r="R93" i="22"/>
  <c r="S93" i="22" s="1"/>
  <c r="R92" i="22"/>
  <c r="R91" i="22"/>
  <c r="AH91" i="22" s="1"/>
  <c r="R90" i="22"/>
  <c r="R89" i="22"/>
  <c r="S89" i="22"/>
  <c r="R88" i="22"/>
  <c r="S88" i="22" s="1"/>
  <c r="R87" i="22"/>
  <c r="R86" i="22"/>
  <c r="AH86" i="22" s="1"/>
  <c r="AI82" i="22"/>
  <c r="AH107" i="22"/>
  <c r="AH106" i="22"/>
  <c r="AH103" i="22"/>
  <c r="AH98" i="22"/>
  <c r="AH95" i="22"/>
  <c r="AH93" i="22"/>
  <c r="AH89" i="22"/>
  <c r="AH82" i="22"/>
  <c r="R81" i="22"/>
  <c r="R80" i="22"/>
  <c r="S80" i="22" s="1"/>
  <c r="R79" i="22"/>
  <c r="R77" i="22"/>
  <c r="R76" i="22"/>
  <c r="S76" i="22" s="1"/>
  <c r="R75" i="22"/>
  <c r="S75" i="22"/>
  <c r="R73" i="22"/>
  <c r="S73" i="22" s="1"/>
  <c r="R72" i="22"/>
  <c r="S72" i="22" s="1"/>
  <c r="R71" i="22"/>
  <c r="S71" i="22" s="1"/>
  <c r="AI71" i="22" s="1"/>
  <c r="R70" i="22"/>
  <c r="AH70" i="22" s="1"/>
  <c r="R69" i="22"/>
  <c r="S69" i="22" s="1"/>
  <c r="R68" i="22"/>
  <c r="R67" i="22"/>
  <c r="S67" i="22"/>
  <c r="AI67" i="22" s="1"/>
  <c r="R66" i="22"/>
  <c r="S66" i="22"/>
  <c r="AI66" i="22" s="1"/>
  <c r="R65" i="22"/>
  <c r="R64" i="22"/>
  <c r="S64" i="22"/>
  <c r="AI64" i="22" s="1"/>
  <c r="R63" i="22"/>
  <c r="R62" i="22"/>
  <c r="S62" i="22"/>
  <c r="R61" i="22"/>
  <c r="R60" i="22"/>
  <c r="S60" i="22" s="1"/>
  <c r="AI56" i="22"/>
  <c r="AH80" i="22"/>
  <c r="AH75" i="22"/>
  <c r="AH72" i="22"/>
  <c r="AH69" i="22"/>
  <c r="AH67" i="22"/>
  <c r="AH66" i="22"/>
  <c r="AH64" i="22"/>
  <c r="AH62" i="22"/>
  <c r="AH56" i="22"/>
  <c r="R55" i="22"/>
  <c r="AH55" i="22" s="1"/>
  <c r="R54" i="22"/>
  <c r="S54" i="22"/>
  <c r="R53" i="22"/>
  <c r="AH53" i="22" s="1"/>
  <c r="R51" i="22"/>
  <c r="R50" i="22"/>
  <c r="R49" i="22"/>
  <c r="S49" i="22" s="1"/>
  <c r="R47" i="22"/>
  <c r="R46" i="22"/>
  <c r="S46" i="22" s="1"/>
  <c r="R45" i="22"/>
  <c r="AH45" i="22"/>
  <c r="R44" i="22"/>
  <c r="S44" i="22" s="1"/>
  <c r="R43" i="22"/>
  <c r="S43" i="22" s="1"/>
  <c r="AI43" i="22" s="1"/>
  <c r="R42" i="22"/>
  <c r="S42" i="22" s="1"/>
  <c r="R41" i="22"/>
  <c r="R40" i="22"/>
  <c r="S40" i="22" s="1"/>
  <c r="R39" i="22"/>
  <c r="R38" i="22"/>
  <c r="S38" i="22" s="1"/>
  <c r="R37" i="22"/>
  <c r="AH37" i="22" s="1"/>
  <c r="R36" i="22"/>
  <c r="S36" i="22"/>
  <c r="R35" i="22"/>
  <c r="S35" i="22" s="1"/>
  <c r="AI35" i="22" s="1"/>
  <c r="R34" i="22"/>
  <c r="AI30" i="22"/>
  <c r="AH54" i="22"/>
  <c r="AH49" i="22"/>
  <c r="AH43" i="22"/>
  <c r="AH42" i="22"/>
  <c r="AH40" i="22"/>
  <c r="AH38" i="22"/>
  <c r="AH36" i="22"/>
  <c r="AH35" i="22"/>
  <c r="AH30" i="22"/>
  <c r="AG30" i="22"/>
  <c r="AA30" i="22"/>
  <c r="X55" i="22"/>
  <c r="X54" i="22"/>
  <c r="X53" i="22"/>
  <c r="X51" i="22"/>
  <c r="X50" i="22"/>
  <c r="X49" i="22"/>
  <c r="X47" i="22"/>
  <c r="X46" i="22"/>
  <c r="X45" i="22"/>
  <c r="X44" i="22"/>
  <c r="X43" i="22"/>
  <c r="X42" i="22"/>
  <c r="X41" i="22"/>
  <c r="X40" i="22"/>
  <c r="X39" i="22"/>
  <c r="X38" i="22"/>
  <c r="X37" i="22"/>
  <c r="X36" i="22"/>
  <c r="X35" i="22"/>
  <c r="X34" i="22"/>
  <c r="X30" i="22"/>
  <c r="T28" i="22"/>
  <c r="T27" i="22"/>
  <c r="T26" i="22"/>
  <c r="T24" i="22"/>
  <c r="T23" i="22"/>
  <c r="T22" i="22"/>
  <c r="T20" i="22"/>
  <c r="T19" i="22"/>
  <c r="T18" i="22"/>
  <c r="T17" i="22"/>
  <c r="T16" i="22"/>
  <c r="T15" i="22"/>
  <c r="T14" i="22"/>
  <c r="T13" i="22"/>
  <c r="T12" i="22"/>
  <c r="T11" i="22"/>
  <c r="T10" i="22"/>
  <c r="T9" i="22"/>
  <c r="T8" i="22"/>
  <c r="T7" i="22"/>
  <c r="T3" i="22"/>
  <c r="AE133" i="22"/>
  <c r="AE132" i="22"/>
  <c r="AE131" i="22"/>
  <c r="AE129" i="22"/>
  <c r="AE128" i="22"/>
  <c r="AE127" i="22"/>
  <c r="AE125" i="22"/>
  <c r="AE124" i="22"/>
  <c r="AE123" i="22"/>
  <c r="AE122" i="22"/>
  <c r="AE121" i="22"/>
  <c r="AE120" i="22"/>
  <c r="AE119" i="22"/>
  <c r="AE118" i="22"/>
  <c r="AE117" i="22"/>
  <c r="AE116" i="22"/>
  <c r="AE115" i="22"/>
  <c r="AE114" i="22"/>
  <c r="AE113" i="22"/>
  <c r="AE112" i="22"/>
  <c r="AE108" i="22"/>
  <c r="AE55" i="22"/>
  <c r="AE54" i="22"/>
  <c r="AE53" i="22"/>
  <c r="AE51" i="22"/>
  <c r="AE50" i="22"/>
  <c r="AE49" i="22"/>
  <c r="AE47" i="22"/>
  <c r="AE46" i="22"/>
  <c r="AE45" i="22"/>
  <c r="AE44" i="22"/>
  <c r="AE43" i="22"/>
  <c r="AE42" i="22"/>
  <c r="AE41" i="22"/>
  <c r="AE40" i="22"/>
  <c r="AE39" i="22"/>
  <c r="AE38" i="22"/>
  <c r="AE37" i="22"/>
  <c r="AE36" i="22"/>
  <c r="AE35" i="22"/>
  <c r="AE34" i="22"/>
  <c r="AE30" i="22"/>
  <c r="Z36" i="22"/>
  <c r="Z37" i="22"/>
  <c r="Z38" i="22"/>
  <c r="Z39" i="22"/>
  <c r="Z40" i="22"/>
  <c r="Z41" i="22"/>
  <c r="Z42" i="22"/>
  <c r="Z43" i="22"/>
  <c r="Z44" i="22"/>
  <c r="Z45" i="22"/>
  <c r="Z46" i="22"/>
  <c r="Z47" i="22"/>
  <c r="Z49" i="22"/>
  <c r="Z50" i="22"/>
  <c r="Z51" i="22"/>
  <c r="Z53" i="22"/>
  <c r="Z54" i="22"/>
  <c r="Z55" i="22"/>
  <c r="Z35" i="22"/>
  <c r="Z3" i="22"/>
  <c r="Y8" i="22"/>
  <c r="Y9" i="22"/>
  <c r="Y10" i="22"/>
  <c r="Y11" i="22"/>
  <c r="Y12" i="22"/>
  <c r="Y13" i="22"/>
  <c r="Y14" i="22"/>
  <c r="Y15" i="22"/>
  <c r="Y16" i="22"/>
  <c r="Y17" i="22"/>
  <c r="Y18" i="22"/>
  <c r="Y19" i="22"/>
  <c r="Y20" i="22"/>
  <c r="Y22" i="22"/>
  <c r="Y23" i="22"/>
  <c r="Y24" i="22"/>
  <c r="Y26" i="22"/>
  <c r="Y27" i="22"/>
  <c r="Y28" i="22"/>
  <c r="Y7" i="22"/>
  <c r="Y3" i="22"/>
  <c r="M8" i="22"/>
  <c r="N8" i="22"/>
  <c r="X8" i="22" s="1"/>
  <c r="M9" i="22"/>
  <c r="N9" i="22" s="1"/>
  <c r="X9" i="22" s="1"/>
  <c r="M10" i="22"/>
  <c r="W10" i="22" s="1"/>
  <c r="M11" i="22"/>
  <c r="N11" i="22" s="1"/>
  <c r="X11" i="22" s="1"/>
  <c r="M12" i="22"/>
  <c r="M13" i="22"/>
  <c r="N13" i="22" s="1"/>
  <c r="X13" i="22" s="1"/>
  <c r="M14" i="22"/>
  <c r="N14" i="22" s="1"/>
  <c r="X14" i="22" s="1"/>
  <c r="M15" i="22"/>
  <c r="W15" i="22" s="1"/>
  <c r="M16" i="22"/>
  <c r="N16" i="22" s="1"/>
  <c r="X16" i="22" s="1"/>
  <c r="M17" i="22"/>
  <c r="N17" i="22" s="1"/>
  <c r="X17" i="22" s="1"/>
  <c r="M18" i="22"/>
  <c r="W18" i="22" s="1"/>
  <c r="M19" i="22"/>
  <c r="N19" i="22" s="1"/>
  <c r="X19" i="22" s="1"/>
  <c r="M20" i="22"/>
  <c r="N20" i="22" s="1"/>
  <c r="X20" i="22" s="1"/>
  <c r="M22" i="22"/>
  <c r="M23" i="22"/>
  <c r="N23" i="22" s="1"/>
  <c r="M24" i="22"/>
  <c r="N24" i="22" s="1"/>
  <c r="X24" i="22" s="1"/>
  <c r="M26" i="22"/>
  <c r="N26" i="22" s="1"/>
  <c r="X26" i="22" s="1"/>
  <c r="M27" i="22"/>
  <c r="N27" i="22" s="1"/>
  <c r="X27" i="22" s="1"/>
  <c r="M28" i="22"/>
  <c r="M7" i="22"/>
  <c r="N7" i="22" s="1"/>
  <c r="X7" i="22" s="1"/>
  <c r="W24" i="22"/>
  <c r="W26" i="22"/>
  <c r="W8" i="22"/>
  <c r="W9" i="22"/>
  <c r="W11" i="22"/>
  <c r="W13" i="22"/>
  <c r="W14" i="22"/>
  <c r="W16" i="22"/>
  <c r="W17" i="22"/>
  <c r="W19" i="22"/>
  <c r="W20" i="22"/>
  <c r="W7" i="22"/>
  <c r="X3" i="22"/>
  <c r="W3" i="22"/>
  <c r="V8" i="22"/>
  <c r="V9" i="22"/>
  <c r="V10" i="22"/>
  <c r="V11" i="22"/>
  <c r="V12" i="22"/>
  <c r="V13" i="22"/>
  <c r="V14" i="22"/>
  <c r="V15" i="22"/>
  <c r="V16" i="22"/>
  <c r="V17" i="22"/>
  <c r="V18" i="22"/>
  <c r="V19" i="22"/>
  <c r="V20" i="22"/>
  <c r="V22" i="22"/>
  <c r="V23" i="22"/>
  <c r="V24" i="22"/>
  <c r="V26" i="22"/>
  <c r="V27" i="22"/>
  <c r="V28" i="22"/>
  <c r="V7" i="22"/>
  <c r="V3" i="22"/>
  <c r="Y55" i="22"/>
  <c r="AD55" i="22"/>
  <c r="AF55" i="22"/>
  <c r="Y54" i="22"/>
  <c r="AD54" i="22"/>
  <c r="AF54" i="22"/>
  <c r="Y53" i="22"/>
  <c r="AD53" i="22"/>
  <c r="AF53" i="22"/>
  <c r="Y51" i="22"/>
  <c r="AD51" i="22"/>
  <c r="AF51" i="22"/>
  <c r="Y50" i="22"/>
  <c r="AD50" i="22"/>
  <c r="AF50" i="22"/>
  <c r="Y49" i="22"/>
  <c r="AD49" i="22"/>
  <c r="AF49" i="22"/>
  <c r="Y35" i="22"/>
  <c r="AD35" i="22"/>
  <c r="AF35" i="22"/>
  <c r="Y36" i="22"/>
  <c r="AD36" i="22"/>
  <c r="AF36" i="22"/>
  <c r="Y37" i="22"/>
  <c r="AD37" i="22"/>
  <c r="AF37" i="22"/>
  <c r="Y38" i="22"/>
  <c r="AD38" i="22"/>
  <c r="AF38" i="22"/>
  <c r="Y39" i="22"/>
  <c r="AD39" i="22"/>
  <c r="AF39" i="22"/>
  <c r="Y40" i="22"/>
  <c r="AD40" i="22"/>
  <c r="AF40" i="22"/>
  <c r="Y41" i="22"/>
  <c r="AD41" i="22"/>
  <c r="AF41" i="22"/>
  <c r="Y42" i="22"/>
  <c r="AD42" i="22"/>
  <c r="AF42" i="22"/>
  <c r="Y43" i="22"/>
  <c r="AD43" i="22"/>
  <c r="AF43" i="22"/>
  <c r="Y44" i="22"/>
  <c r="AD44" i="22"/>
  <c r="AF44" i="22"/>
  <c r="Y45" i="22"/>
  <c r="AD45" i="22"/>
  <c r="AF45" i="22"/>
  <c r="Y46" i="22"/>
  <c r="AD46" i="22"/>
  <c r="AF46" i="22"/>
  <c r="Y47" i="22"/>
  <c r="AD47" i="22"/>
  <c r="AF47" i="22"/>
  <c r="Y34" i="22"/>
  <c r="Z34" i="22"/>
  <c r="AD34" i="22"/>
  <c r="AF34" i="22"/>
  <c r="S108" i="22"/>
  <c r="R108" i="22"/>
  <c r="S82" i="22"/>
  <c r="R82" i="22"/>
  <c r="S56" i="22"/>
  <c r="R56" i="22"/>
  <c r="S30" i="22"/>
  <c r="R30" i="22"/>
  <c r="Q108" i="22"/>
  <c r="Q30" i="22"/>
  <c r="Q82" i="22"/>
  <c r="AF30" i="22"/>
  <c r="P30" i="22"/>
  <c r="P108" i="22"/>
  <c r="P82" i="22"/>
  <c r="N30" i="22"/>
  <c r="M30" i="22"/>
  <c r="U7" i="22"/>
  <c r="U8" i="22"/>
  <c r="U9" i="22"/>
  <c r="U10" i="22"/>
  <c r="U11" i="22"/>
  <c r="U12" i="22"/>
  <c r="U13" i="22"/>
  <c r="U14" i="22"/>
  <c r="U15" i="22"/>
  <c r="U16" i="22"/>
  <c r="U17" i="22"/>
  <c r="U18" i="22"/>
  <c r="U19" i="22"/>
  <c r="U20" i="22"/>
  <c r="U22" i="22"/>
  <c r="U23" i="22"/>
  <c r="U24" i="22"/>
  <c r="U26" i="22"/>
  <c r="U27" i="22"/>
  <c r="U28" i="22"/>
  <c r="E3" i="22"/>
  <c r="F3" i="22"/>
  <c r="G3" i="22"/>
  <c r="H3" i="22"/>
  <c r="J3" i="22"/>
  <c r="K3" i="22"/>
  <c r="M3" i="22"/>
  <c r="N3" i="22"/>
  <c r="P3" i="22"/>
  <c r="Q3" i="22"/>
  <c r="R3" i="22"/>
  <c r="S3" i="22"/>
  <c r="U3" i="22"/>
  <c r="E30" i="22"/>
  <c r="F30" i="22"/>
  <c r="G30" i="22"/>
  <c r="J30" i="22"/>
  <c r="K30" i="22"/>
  <c r="T30" i="22"/>
  <c r="U30" i="22"/>
  <c r="V30" i="22"/>
  <c r="W30" i="22"/>
  <c r="Y30" i="22"/>
  <c r="Z30" i="22"/>
  <c r="T56" i="22"/>
  <c r="U56" i="22"/>
  <c r="V56" i="22"/>
  <c r="W56" i="22"/>
  <c r="T82" i="22"/>
  <c r="U82" i="22"/>
  <c r="V82" i="22"/>
  <c r="W82" i="22"/>
  <c r="T108" i="22"/>
  <c r="U108" i="22"/>
  <c r="V108" i="22"/>
  <c r="W108" i="22"/>
  <c r="V63" i="27"/>
  <c r="B2" i="27"/>
  <c r="V3" i="27" s="1"/>
  <c r="AO51" i="27"/>
  <c r="AB133" i="27"/>
  <c r="AB132" i="27"/>
  <c r="AB131" i="27"/>
  <c r="AB129" i="27"/>
  <c r="AB128" i="27"/>
  <c r="AB127" i="27"/>
  <c r="AB125" i="27"/>
  <c r="AB124" i="27"/>
  <c r="AB123" i="27"/>
  <c r="AB122" i="27"/>
  <c r="AB121" i="27"/>
  <c r="AB120" i="27"/>
  <c r="AB119" i="27"/>
  <c r="AB118" i="27"/>
  <c r="AB117" i="27"/>
  <c r="AB116" i="27"/>
  <c r="AB115" i="27"/>
  <c r="AC115" i="27" s="1"/>
  <c r="AX115" i="27" s="1"/>
  <c r="AB114" i="27"/>
  <c r="AB113" i="27"/>
  <c r="AB112" i="27"/>
  <c r="V133" i="27"/>
  <c r="V132" i="27"/>
  <c r="W132" i="27" s="1"/>
  <c r="V131" i="27"/>
  <c r="V129" i="27"/>
  <c r="V128" i="27"/>
  <c r="V127" i="27"/>
  <c r="V125" i="27"/>
  <c r="V124" i="27"/>
  <c r="V123" i="27"/>
  <c r="V122" i="27"/>
  <c r="V121" i="27"/>
  <c r="V120" i="27"/>
  <c r="V119" i="27"/>
  <c r="V118" i="27"/>
  <c r="V117" i="27"/>
  <c r="V116" i="27"/>
  <c r="V115" i="27"/>
  <c r="V114" i="27"/>
  <c r="V113" i="27"/>
  <c r="V112" i="27"/>
  <c r="AB107" i="27"/>
  <c r="AB106" i="27"/>
  <c r="AB105" i="27"/>
  <c r="AB103" i="27"/>
  <c r="AB102" i="27"/>
  <c r="AB101" i="27"/>
  <c r="AB99" i="27"/>
  <c r="AW99" i="27" s="1"/>
  <c r="AB98" i="27"/>
  <c r="AB97" i="27"/>
  <c r="AB96" i="27"/>
  <c r="AB95" i="27"/>
  <c r="AB94" i="27"/>
  <c r="AB93" i="27"/>
  <c r="AB92" i="27"/>
  <c r="AB91" i="27"/>
  <c r="AB90" i="27"/>
  <c r="AB89" i="27"/>
  <c r="AB88" i="27"/>
  <c r="AB87" i="27"/>
  <c r="AW87" i="27" s="1"/>
  <c r="AB86" i="27"/>
  <c r="V107" i="27"/>
  <c r="V106" i="27"/>
  <c r="V105" i="27"/>
  <c r="W105" i="27" s="1"/>
  <c r="AV105" i="27" s="1"/>
  <c r="V103" i="27"/>
  <c r="V102" i="27"/>
  <c r="V101" i="27"/>
  <c r="V99" i="27"/>
  <c r="W99" i="27" s="1"/>
  <c r="AV99" i="27" s="1"/>
  <c r="V98" i="27"/>
  <c r="V97" i="27"/>
  <c r="V96" i="27"/>
  <c r="V95" i="27"/>
  <c r="V94" i="27"/>
  <c r="V93" i="27"/>
  <c r="V92" i="27"/>
  <c r="V91" i="27"/>
  <c r="V90" i="27"/>
  <c r="V89" i="27"/>
  <c r="V88" i="27"/>
  <c r="V87" i="27"/>
  <c r="V86" i="27"/>
  <c r="W86" i="27" s="1"/>
  <c r="AU97" i="27"/>
  <c r="V81" i="27"/>
  <c r="V80" i="27"/>
  <c r="V79" i="27"/>
  <c r="V77" i="27"/>
  <c r="AU77" i="27" s="1"/>
  <c r="V76" i="27"/>
  <c r="V75" i="27"/>
  <c r="AU75" i="27" s="1"/>
  <c r="V73" i="27"/>
  <c r="V72" i="27"/>
  <c r="V71" i="27"/>
  <c r="V70" i="27"/>
  <c r="V69" i="27"/>
  <c r="V68" i="27"/>
  <c r="V67" i="27"/>
  <c r="V66" i="27"/>
  <c r="AU66" i="27"/>
  <c r="V65" i="27"/>
  <c r="V64" i="27"/>
  <c r="V62" i="27"/>
  <c r="V61" i="27"/>
  <c r="V60" i="27"/>
  <c r="AB81" i="27"/>
  <c r="AB80" i="27"/>
  <c r="AB79" i="27"/>
  <c r="AB77" i="27"/>
  <c r="AB76" i="27"/>
  <c r="AB75" i="27"/>
  <c r="AC75" i="27" s="1"/>
  <c r="AB73" i="27"/>
  <c r="AB72" i="27"/>
  <c r="AB71" i="27"/>
  <c r="AB70" i="27"/>
  <c r="AB69" i="27"/>
  <c r="AB68" i="27"/>
  <c r="AB67" i="27"/>
  <c r="AB66" i="27"/>
  <c r="AB65" i="27"/>
  <c r="AB64" i="27"/>
  <c r="AB63" i="27"/>
  <c r="AB62" i="27"/>
  <c r="AB61" i="27"/>
  <c r="AB60" i="27"/>
  <c r="AB55" i="27"/>
  <c r="AB54" i="27"/>
  <c r="AB53" i="27"/>
  <c r="AB51" i="27"/>
  <c r="AB50" i="27"/>
  <c r="AB49" i="27"/>
  <c r="AB47" i="27"/>
  <c r="AB46" i="27"/>
  <c r="AB45" i="27"/>
  <c r="AW45" i="27" s="1"/>
  <c r="AB44" i="27"/>
  <c r="AB43" i="27"/>
  <c r="AB42" i="27"/>
  <c r="AB41" i="27"/>
  <c r="AB40" i="27"/>
  <c r="AB39" i="27"/>
  <c r="AB38" i="27"/>
  <c r="AC38" i="27"/>
  <c r="AX38" i="27" s="1"/>
  <c r="AB37" i="27"/>
  <c r="AB36" i="27"/>
  <c r="AB35" i="27"/>
  <c r="AB34" i="27"/>
  <c r="V55" i="27"/>
  <c r="V54" i="27"/>
  <c r="V53" i="27"/>
  <c r="V51" i="27"/>
  <c r="V50" i="27"/>
  <c r="V49" i="27"/>
  <c r="V47" i="27"/>
  <c r="W47" i="27" s="1"/>
  <c r="V46" i="27"/>
  <c r="V45" i="27"/>
  <c r="W45" i="27" s="1"/>
  <c r="AV45" i="27" s="1"/>
  <c r="V44" i="27"/>
  <c r="AU44" i="27" s="1"/>
  <c r="V43" i="27"/>
  <c r="V42" i="27"/>
  <c r="V41" i="27"/>
  <c r="V40" i="27"/>
  <c r="V39" i="27"/>
  <c r="W39" i="27" s="1"/>
  <c r="V38" i="27"/>
  <c r="V37" i="27"/>
  <c r="W37" i="27" s="1"/>
  <c r="AV37" i="27" s="1"/>
  <c r="V36" i="27"/>
  <c r="V35" i="27"/>
  <c r="V34" i="27"/>
  <c r="AV30" i="27"/>
  <c r="AH45" i="27"/>
  <c r="T24" i="27"/>
  <c r="T7" i="27"/>
  <c r="Y22" i="27"/>
  <c r="AJ35" i="27"/>
  <c r="AR37" i="27"/>
  <c r="AP40" i="27"/>
  <c r="AJ43" i="27"/>
  <c r="AR45" i="27"/>
  <c r="AP49" i="27"/>
  <c r="AJ53" i="27"/>
  <c r="AR55" i="27"/>
  <c r="M27" i="27"/>
  <c r="M28" i="27"/>
  <c r="M26" i="27"/>
  <c r="W26" i="27" s="1"/>
  <c r="M23" i="27"/>
  <c r="M24" i="27"/>
  <c r="M22" i="27"/>
  <c r="M10" i="27"/>
  <c r="W10" i="27" s="1"/>
  <c r="M11" i="27"/>
  <c r="M12" i="27"/>
  <c r="M13" i="27"/>
  <c r="M14" i="27"/>
  <c r="M15" i="27"/>
  <c r="M16" i="27"/>
  <c r="M17" i="27"/>
  <c r="M18" i="27"/>
  <c r="M19" i="27"/>
  <c r="M20" i="27"/>
  <c r="M8" i="27"/>
  <c r="W8" i="27" s="1"/>
  <c r="M9" i="27"/>
  <c r="M7" i="27"/>
  <c r="AR86" i="27"/>
  <c r="AR114" i="27"/>
  <c r="AR122" i="27"/>
  <c r="AR77" i="27"/>
  <c r="AR66" i="27"/>
  <c r="AR107" i="27"/>
  <c r="AR89" i="27"/>
  <c r="AR97" i="27"/>
  <c r="W14" i="27"/>
  <c r="W108" i="27"/>
  <c r="T82" i="27"/>
  <c r="R108" i="27"/>
  <c r="AA56" i="27"/>
  <c r="Q30" i="27"/>
  <c r="J3" i="27"/>
  <c r="AW44" i="27"/>
  <c r="B2" i="23"/>
  <c r="AI35" i="23" s="1"/>
  <c r="AJ46" i="23"/>
  <c r="AJ92" i="23"/>
  <c r="Y133" i="23"/>
  <c r="Y132" i="23"/>
  <c r="Z132" i="23" s="1"/>
  <c r="Y131" i="23"/>
  <c r="Y129" i="23"/>
  <c r="Y128" i="23"/>
  <c r="Y127" i="23"/>
  <c r="Z127" i="23" s="1"/>
  <c r="Y125" i="23"/>
  <c r="Y124" i="23"/>
  <c r="Y123" i="23"/>
  <c r="Y122" i="23"/>
  <c r="Z122" i="23" s="1"/>
  <c r="Y121" i="23"/>
  <c r="Y120" i="23"/>
  <c r="Y119" i="23"/>
  <c r="Y118" i="23"/>
  <c r="Y117" i="23"/>
  <c r="Y116" i="23"/>
  <c r="Y115" i="23"/>
  <c r="Y114" i="23"/>
  <c r="Z114" i="23" s="1"/>
  <c r="Y113" i="23"/>
  <c r="Y112" i="23"/>
  <c r="S133" i="23"/>
  <c r="S132" i="23"/>
  <c r="S131" i="23"/>
  <c r="S129" i="23"/>
  <c r="S128" i="23"/>
  <c r="S127" i="23"/>
  <c r="S125" i="23"/>
  <c r="T125" i="23" s="1"/>
  <c r="AQ125" i="23" s="1"/>
  <c r="S124" i="23"/>
  <c r="S123" i="23"/>
  <c r="S122" i="23"/>
  <c r="S121" i="23"/>
  <c r="T121" i="23" s="1"/>
  <c r="AQ121" i="23" s="1"/>
  <c r="S120" i="23"/>
  <c r="S119" i="23"/>
  <c r="S118" i="23"/>
  <c r="S117" i="23"/>
  <c r="T117" i="23" s="1"/>
  <c r="AQ117" i="23" s="1"/>
  <c r="S116" i="23"/>
  <c r="S115" i="23"/>
  <c r="S114" i="23"/>
  <c r="S113" i="23"/>
  <c r="S112" i="23"/>
  <c r="AQ108" i="23"/>
  <c r="AL121" i="23"/>
  <c r="AL113" i="23"/>
  <c r="Y107" i="23"/>
  <c r="Y106" i="23"/>
  <c r="Y105" i="23"/>
  <c r="Z105" i="23" s="1"/>
  <c r="Y103" i="23"/>
  <c r="Y102" i="23"/>
  <c r="Y101" i="23"/>
  <c r="Y99" i="23"/>
  <c r="Z99" i="23" s="1"/>
  <c r="Y98" i="23"/>
  <c r="Y97" i="23"/>
  <c r="Y96" i="23"/>
  <c r="Y95" i="23"/>
  <c r="Y94" i="23"/>
  <c r="Y93" i="23"/>
  <c r="Y92" i="23"/>
  <c r="Y91" i="23"/>
  <c r="Z91" i="23" s="1"/>
  <c r="Y90" i="23"/>
  <c r="Y89" i="23"/>
  <c r="Y88" i="23"/>
  <c r="Y87" i="23"/>
  <c r="Z87" i="23" s="1"/>
  <c r="Y86" i="23"/>
  <c r="S107" i="23"/>
  <c r="S106" i="23"/>
  <c r="S105" i="23"/>
  <c r="S103" i="23"/>
  <c r="AP103" i="23" s="1"/>
  <c r="S102" i="23"/>
  <c r="T102" i="23" s="1"/>
  <c r="S101" i="23"/>
  <c r="S99" i="23"/>
  <c r="S98" i="23"/>
  <c r="S97" i="23"/>
  <c r="S96" i="23"/>
  <c r="T96" i="23"/>
  <c r="S95" i="23"/>
  <c r="S94" i="23"/>
  <c r="S93" i="23"/>
  <c r="T93" i="23"/>
  <c r="AQ93" i="23" s="1"/>
  <c r="S92" i="23"/>
  <c r="S91" i="23"/>
  <c r="S90" i="23"/>
  <c r="S89" i="23"/>
  <c r="T89" i="23" s="1"/>
  <c r="AQ89" i="23" s="1"/>
  <c r="S88" i="23"/>
  <c r="AP88" i="23" s="1"/>
  <c r="S87" i="23"/>
  <c r="S86" i="23"/>
  <c r="AP106" i="23"/>
  <c r="AP94" i="23"/>
  <c r="AP82" i="23"/>
  <c r="Y81" i="23"/>
  <c r="Z81" i="23"/>
  <c r="Y80" i="23"/>
  <c r="Y79" i="23"/>
  <c r="Y77" i="23"/>
  <c r="Y76" i="23"/>
  <c r="Z76" i="23" s="1"/>
  <c r="Y75" i="23"/>
  <c r="Y73" i="23"/>
  <c r="Y72" i="23"/>
  <c r="AR72" i="23" s="1"/>
  <c r="Y71" i="23"/>
  <c r="Y70" i="23"/>
  <c r="Y69" i="23"/>
  <c r="Z69" i="23"/>
  <c r="Y68" i="23"/>
  <c r="Z68" i="23" s="1"/>
  <c r="AS68" i="23" s="1"/>
  <c r="Y67" i="23"/>
  <c r="Y66" i="23"/>
  <c r="Y65" i="23"/>
  <c r="Z65" i="23" s="1"/>
  <c r="Y64" i="23"/>
  <c r="Z64" i="23"/>
  <c r="Y63" i="23"/>
  <c r="Z63" i="23" s="1"/>
  <c r="Y62" i="23"/>
  <c r="Y61" i="23"/>
  <c r="Y60" i="23"/>
  <c r="AS56" i="23"/>
  <c r="AR64" i="23"/>
  <c r="AR56" i="23"/>
  <c r="S81" i="23"/>
  <c r="T81" i="23" s="1"/>
  <c r="S80" i="23"/>
  <c r="T80" i="23" s="1"/>
  <c r="AQ80" i="23" s="1"/>
  <c r="S79" i="23"/>
  <c r="S77" i="23"/>
  <c r="S76" i="23"/>
  <c r="S75" i="23"/>
  <c r="S73" i="23"/>
  <c r="AP73" i="23" s="1"/>
  <c r="S72" i="23"/>
  <c r="S71" i="23"/>
  <c r="T71" i="23" s="1"/>
  <c r="S70" i="23"/>
  <c r="T70" i="23" s="1"/>
  <c r="AQ70" i="23" s="1"/>
  <c r="S69" i="23"/>
  <c r="T69" i="23" s="1"/>
  <c r="S68" i="23"/>
  <c r="T68" i="23" s="1"/>
  <c r="S67" i="23"/>
  <c r="T67" i="23" s="1"/>
  <c r="S66" i="23"/>
  <c r="S65" i="23"/>
  <c r="AP65" i="23" s="1"/>
  <c r="S64" i="23"/>
  <c r="T64" i="23" s="1"/>
  <c r="AQ64" i="23" s="1"/>
  <c r="S63" i="23"/>
  <c r="T63" i="23" s="1"/>
  <c r="S62" i="23"/>
  <c r="T62" i="23" s="1"/>
  <c r="AQ62" i="23" s="1"/>
  <c r="S61" i="23"/>
  <c r="S60" i="23"/>
  <c r="AQ56" i="23"/>
  <c r="AP77" i="23"/>
  <c r="AP69" i="23"/>
  <c r="AP60" i="23"/>
  <c r="Y55" i="23"/>
  <c r="Y54" i="23"/>
  <c r="Y53" i="23"/>
  <c r="Z53" i="23" s="1"/>
  <c r="Y51" i="23"/>
  <c r="Z51" i="23" s="1"/>
  <c r="Y50" i="23"/>
  <c r="Z50" i="23" s="1"/>
  <c r="Y49" i="23"/>
  <c r="Y47" i="23"/>
  <c r="Y46" i="23"/>
  <c r="Y45" i="23"/>
  <c r="Y44" i="23"/>
  <c r="Y43" i="23"/>
  <c r="Z43" i="23" s="1"/>
  <c r="Y42" i="23"/>
  <c r="Z42" i="23" s="1"/>
  <c r="Y41" i="23"/>
  <c r="Z41" i="23" s="1"/>
  <c r="Y40" i="23"/>
  <c r="Y39" i="23"/>
  <c r="Y38" i="23"/>
  <c r="Y37" i="23"/>
  <c r="Y36" i="23"/>
  <c r="Y35" i="23"/>
  <c r="Z35" i="23"/>
  <c r="Y34" i="23"/>
  <c r="Z34" i="23" s="1"/>
  <c r="AR51" i="23"/>
  <c r="AR34" i="23"/>
  <c r="S55" i="23"/>
  <c r="S54" i="23"/>
  <c r="T54" i="23"/>
  <c r="AQ54" i="23" s="1"/>
  <c r="S53" i="23"/>
  <c r="S51" i="23"/>
  <c r="S50" i="23"/>
  <c r="T50" i="23" s="1"/>
  <c r="S49" i="23"/>
  <c r="S47" i="23"/>
  <c r="S46" i="23"/>
  <c r="T46" i="23" s="1"/>
  <c r="S45" i="23"/>
  <c r="T45" i="23" s="1"/>
  <c r="AQ45" i="23" s="1"/>
  <c r="S44" i="23"/>
  <c r="T44" i="23" s="1"/>
  <c r="S43" i="23"/>
  <c r="S42" i="23"/>
  <c r="T42" i="23"/>
  <c r="S41" i="23"/>
  <c r="T41" i="23" s="1"/>
  <c r="S40" i="23"/>
  <c r="S39" i="23"/>
  <c r="AP39" i="23" s="1"/>
  <c r="S38" i="23"/>
  <c r="T38" i="23" s="1"/>
  <c r="S37" i="23"/>
  <c r="T37" i="23"/>
  <c r="S36" i="23"/>
  <c r="S35" i="23"/>
  <c r="S34" i="23"/>
  <c r="T34" i="23"/>
  <c r="AP54" i="23"/>
  <c r="AP45" i="23"/>
  <c r="AO30" i="23"/>
  <c r="AL55" i="23"/>
  <c r="AL53" i="23"/>
  <c r="AL50" i="23"/>
  <c r="AL47" i="23"/>
  <c r="AL45" i="23"/>
  <c r="AL43" i="23"/>
  <c r="AL41" i="23"/>
  <c r="AL39" i="23"/>
  <c r="AL37" i="23"/>
  <c r="AL35" i="23"/>
  <c r="AL30" i="23"/>
  <c r="AE55" i="23"/>
  <c r="AE53" i="23"/>
  <c r="AE50" i="23"/>
  <c r="AE47" i="23"/>
  <c r="AE45" i="23"/>
  <c r="AE43" i="23"/>
  <c r="AE41" i="23"/>
  <c r="AE39" i="23"/>
  <c r="AE37" i="23"/>
  <c r="AE35" i="23"/>
  <c r="AE30" i="23"/>
  <c r="T27" i="23"/>
  <c r="T24" i="23"/>
  <c r="T22" i="23"/>
  <c r="T19" i="23"/>
  <c r="T17" i="23"/>
  <c r="T15" i="23"/>
  <c r="T13" i="23"/>
  <c r="T11" i="23"/>
  <c r="T9" i="23"/>
  <c r="T7" i="23"/>
  <c r="Z3" i="23"/>
  <c r="Y9" i="23"/>
  <c r="Y11" i="23"/>
  <c r="Y13" i="23"/>
  <c r="Y15" i="23"/>
  <c r="Y17" i="23"/>
  <c r="Y19" i="23"/>
  <c r="Y22" i="23"/>
  <c r="Y24" i="23"/>
  <c r="Y27" i="23"/>
  <c r="Y7" i="23"/>
  <c r="V32" i="23"/>
  <c r="U51" i="23" s="1"/>
  <c r="AF35" i="23"/>
  <c r="AK35" i="23"/>
  <c r="U36" i="23"/>
  <c r="AF36" i="23"/>
  <c r="AK36" i="23"/>
  <c r="AG37" i="23"/>
  <c r="AM37" i="23"/>
  <c r="AG38" i="23"/>
  <c r="AM38" i="23"/>
  <c r="AF39" i="23"/>
  <c r="AK39" i="23"/>
  <c r="AF40" i="23"/>
  <c r="AK40" i="23"/>
  <c r="AG41" i="23"/>
  <c r="AM41" i="23"/>
  <c r="AG42" i="23"/>
  <c r="AM42" i="23"/>
  <c r="AF43" i="23"/>
  <c r="AK43" i="23"/>
  <c r="AF44" i="23"/>
  <c r="AK44" i="23"/>
  <c r="AG45" i="23"/>
  <c r="AM45" i="23"/>
  <c r="AG46" i="23"/>
  <c r="AM46" i="23"/>
  <c r="AG47" i="23"/>
  <c r="AM47" i="23"/>
  <c r="AF49" i="23"/>
  <c r="AK49" i="23"/>
  <c r="AF50" i="23"/>
  <c r="AK50" i="23"/>
  <c r="AG51" i="23"/>
  <c r="AM51" i="23"/>
  <c r="AG53" i="23"/>
  <c r="AM53" i="23"/>
  <c r="AF54" i="23"/>
  <c r="AK54" i="23"/>
  <c r="U55" i="23"/>
  <c r="AF55" i="23"/>
  <c r="AK55" i="23"/>
  <c r="AF34" i="23"/>
  <c r="AK34" i="23"/>
  <c r="V23" i="23"/>
  <c r="V22" i="23"/>
  <c r="V10" i="23"/>
  <c r="V12" i="23"/>
  <c r="V14" i="23"/>
  <c r="V16" i="23"/>
  <c r="V18" i="23"/>
  <c r="V20" i="23"/>
  <c r="V7" i="23"/>
  <c r="W3" i="23"/>
  <c r="M27" i="23"/>
  <c r="M28" i="23"/>
  <c r="M26" i="23"/>
  <c r="M24" i="23"/>
  <c r="N24" i="23" s="1"/>
  <c r="M23" i="23"/>
  <c r="N23" i="23" s="1"/>
  <c r="X23" i="23" s="1"/>
  <c r="M22" i="23"/>
  <c r="M10" i="23"/>
  <c r="M11" i="23"/>
  <c r="N11" i="23" s="1"/>
  <c r="M12" i="23"/>
  <c r="M13" i="23"/>
  <c r="M14" i="23"/>
  <c r="W14" i="23" s="1"/>
  <c r="M15" i="23"/>
  <c r="N15" i="23" s="1"/>
  <c r="M16" i="23"/>
  <c r="M17" i="23"/>
  <c r="M18" i="23"/>
  <c r="M19" i="23"/>
  <c r="N19" i="23"/>
  <c r="M20" i="23"/>
  <c r="M8" i="23"/>
  <c r="M9" i="23"/>
  <c r="M7" i="23"/>
  <c r="N7" i="23" s="1"/>
  <c r="U7" i="23"/>
  <c r="U9" i="23"/>
  <c r="U10" i="23"/>
  <c r="U11" i="23"/>
  <c r="U13" i="23"/>
  <c r="U16" i="23"/>
  <c r="U18" i="23"/>
  <c r="U19" i="23"/>
  <c r="U22" i="23"/>
  <c r="W23" i="23"/>
  <c r="U26" i="23"/>
  <c r="W26" i="23"/>
  <c r="V27" i="23"/>
  <c r="V28" i="23"/>
  <c r="Z108" i="23"/>
  <c r="Z82" i="23"/>
  <c r="Z56" i="23"/>
  <c r="Z30" i="23"/>
  <c r="T108" i="23"/>
  <c r="T82" i="23"/>
  <c r="T56" i="23"/>
  <c r="T30" i="23"/>
  <c r="R108" i="23"/>
  <c r="R82" i="23"/>
  <c r="R30" i="23"/>
  <c r="AM30" i="23"/>
  <c r="P108" i="23"/>
  <c r="N30" i="23"/>
  <c r="E3" i="23"/>
  <c r="G3" i="23"/>
  <c r="J3" i="23"/>
  <c r="M3" i="23"/>
  <c r="P3" i="23"/>
  <c r="R3" i="23"/>
  <c r="U3" i="23"/>
  <c r="F30" i="23"/>
  <c r="J30" i="23"/>
  <c r="U30" i="23"/>
  <c r="W30" i="23"/>
  <c r="AA30" i="23"/>
  <c r="AC30" i="23"/>
  <c r="AF30" i="23"/>
  <c r="U56" i="23"/>
  <c r="W56" i="23"/>
  <c r="AA56" i="23"/>
  <c r="AC56" i="23"/>
  <c r="U82" i="23"/>
  <c r="W82" i="23"/>
  <c r="AA82" i="23"/>
  <c r="AC82" i="23"/>
  <c r="U108" i="23"/>
  <c r="W108" i="23"/>
  <c r="AA108" i="23"/>
  <c r="AC108" i="23"/>
  <c r="AQ37" i="23"/>
  <c r="AQ41" i="23"/>
  <c r="B2" i="17"/>
  <c r="V133" i="17"/>
  <c r="W133" i="17" s="1"/>
  <c r="V132" i="17"/>
  <c r="W132" i="17" s="1"/>
  <c r="V131" i="17"/>
  <c r="W131" i="17" s="1"/>
  <c r="V129" i="17"/>
  <c r="W129" i="17" s="1"/>
  <c r="V128" i="17"/>
  <c r="W128" i="17" s="1"/>
  <c r="V127" i="17"/>
  <c r="W127" i="17" s="1"/>
  <c r="V113" i="17"/>
  <c r="W113" i="17" s="1"/>
  <c r="V114" i="17"/>
  <c r="W114" i="17" s="1"/>
  <c r="V115" i="17"/>
  <c r="W115" i="17" s="1"/>
  <c r="V116" i="17"/>
  <c r="W116" i="17" s="1"/>
  <c r="V117" i="17"/>
  <c r="W117" i="17" s="1"/>
  <c r="V118" i="17"/>
  <c r="W118" i="17" s="1"/>
  <c r="V119" i="17"/>
  <c r="W119" i="17" s="1"/>
  <c r="V120" i="17"/>
  <c r="W120" i="17" s="1"/>
  <c r="V121" i="17"/>
  <c r="W121" i="17" s="1"/>
  <c r="V122" i="17"/>
  <c r="W122" i="17" s="1"/>
  <c r="V123" i="17"/>
  <c r="W123" i="17" s="1"/>
  <c r="V124" i="17"/>
  <c r="W124" i="17" s="1"/>
  <c r="V125" i="17"/>
  <c r="W125" i="17" s="1"/>
  <c r="V112" i="17"/>
  <c r="W112" i="17" s="1"/>
  <c r="V107" i="17"/>
  <c r="W107" i="17" s="1"/>
  <c r="V106" i="17"/>
  <c r="W106" i="17" s="1"/>
  <c r="V105" i="17"/>
  <c r="W105" i="17" s="1"/>
  <c r="V103" i="17"/>
  <c r="W103" i="17" s="1"/>
  <c r="V102" i="17"/>
  <c r="W102" i="17" s="1"/>
  <c r="V101" i="17"/>
  <c r="W101" i="17" s="1"/>
  <c r="V87" i="17"/>
  <c r="W87" i="17" s="1"/>
  <c r="V88" i="17"/>
  <c r="W88" i="17" s="1"/>
  <c r="V89" i="17"/>
  <c r="W89" i="17" s="1"/>
  <c r="V90" i="17"/>
  <c r="W90" i="17" s="1"/>
  <c r="V91" i="17"/>
  <c r="W91" i="17" s="1"/>
  <c r="V92" i="17"/>
  <c r="W92" i="17" s="1"/>
  <c r="V93" i="17"/>
  <c r="W93" i="17" s="1"/>
  <c r="V94" i="17"/>
  <c r="W94" i="17" s="1"/>
  <c r="V95" i="17"/>
  <c r="W95" i="17" s="1"/>
  <c r="V96" i="17"/>
  <c r="W96" i="17" s="1"/>
  <c r="V97" i="17"/>
  <c r="W97" i="17" s="1"/>
  <c r="V98" i="17"/>
  <c r="W98" i="17" s="1"/>
  <c r="V99" i="17"/>
  <c r="W99" i="17" s="1"/>
  <c r="V86" i="17"/>
  <c r="W86" i="17" s="1"/>
  <c r="V81" i="17"/>
  <c r="W81" i="17" s="1"/>
  <c r="V80" i="17"/>
  <c r="W80" i="17" s="1"/>
  <c r="V79" i="17"/>
  <c r="W79" i="17" s="1"/>
  <c r="V77" i="17"/>
  <c r="W77" i="17" s="1"/>
  <c r="V76" i="17"/>
  <c r="W76" i="17" s="1"/>
  <c r="V75" i="17"/>
  <c r="W75" i="17" s="1"/>
  <c r="V61" i="17"/>
  <c r="W61" i="17" s="1"/>
  <c r="V62" i="17"/>
  <c r="W62" i="17" s="1"/>
  <c r="V63" i="17"/>
  <c r="W63" i="17" s="1"/>
  <c r="V64" i="17"/>
  <c r="W64" i="17" s="1"/>
  <c r="V65" i="17"/>
  <c r="W65" i="17" s="1"/>
  <c r="V66" i="17"/>
  <c r="W66" i="17" s="1"/>
  <c r="V67" i="17"/>
  <c r="W67" i="17" s="1"/>
  <c r="V68" i="17"/>
  <c r="W68" i="17" s="1"/>
  <c r="V69" i="17"/>
  <c r="W69" i="17" s="1"/>
  <c r="V70" i="17"/>
  <c r="W70" i="17" s="1"/>
  <c r="V71" i="17"/>
  <c r="W71" i="17" s="1"/>
  <c r="V72" i="17"/>
  <c r="W72" i="17" s="1"/>
  <c r="V73" i="17"/>
  <c r="W73" i="17" s="1"/>
  <c r="V60" i="17"/>
  <c r="W60" i="17" s="1"/>
  <c r="V34" i="17"/>
  <c r="W34" i="17" s="1"/>
  <c r="Y32" i="17"/>
  <c r="X50" i="17" s="1"/>
  <c r="X32" i="17"/>
  <c r="AJ34" i="17"/>
  <c r="AT56" i="17"/>
  <c r="V55" i="17"/>
  <c r="W55" i="17" s="1"/>
  <c r="V54" i="17"/>
  <c r="W54" i="17" s="1"/>
  <c r="V53" i="17"/>
  <c r="W53" i="17" s="1"/>
  <c r="V51" i="17"/>
  <c r="V50" i="17"/>
  <c r="W50" i="17" s="1"/>
  <c r="V49" i="17"/>
  <c r="W49" i="17" s="1"/>
  <c r="V47" i="17"/>
  <c r="W47" i="17" s="1"/>
  <c r="V46" i="17"/>
  <c r="V45" i="17"/>
  <c r="V44" i="17"/>
  <c r="W44" i="17" s="1"/>
  <c r="V43" i="17"/>
  <c r="W43" i="17" s="1"/>
  <c r="V42" i="17"/>
  <c r="V41" i="17"/>
  <c r="W41" i="17" s="1"/>
  <c r="V40" i="17"/>
  <c r="W40" i="17" s="1"/>
  <c r="V39" i="17"/>
  <c r="W39" i="17" s="1"/>
  <c r="V38" i="17"/>
  <c r="V37" i="17"/>
  <c r="W37" i="17" s="1"/>
  <c r="V36" i="17"/>
  <c r="W36" i="17" s="1"/>
  <c r="V35" i="17"/>
  <c r="W35" i="17" s="1"/>
  <c r="AV82" i="17"/>
  <c r="AV37" i="17"/>
  <c r="M28" i="17"/>
  <c r="N28" i="17"/>
  <c r="X28" i="17" s="1"/>
  <c r="M27" i="17"/>
  <c r="M26" i="17"/>
  <c r="M24" i="17"/>
  <c r="N24" i="17"/>
  <c r="M23" i="17"/>
  <c r="N23" i="17"/>
  <c r="M22" i="17"/>
  <c r="N22" i="17"/>
  <c r="X22" i="17" s="1"/>
  <c r="M20" i="17"/>
  <c r="M19" i="17"/>
  <c r="M18" i="17"/>
  <c r="M17" i="17"/>
  <c r="M16" i="17"/>
  <c r="M15" i="17"/>
  <c r="N15" i="17" s="1"/>
  <c r="M14" i="17"/>
  <c r="M13" i="17"/>
  <c r="N13" i="17" s="1"/>
  <c r="X13" i="17" s="1"/>
  <c r="M12" i="17"/>
  <c r="M11" i="17"/>
  <c r="M10" i="17"/>
  <c r="M9" i="17"/>
  <c r="M8" i="17"/>
  <c r="M7" i="17"/>
  <c r="U8" i="17"/>
  <c r="T9" i="17"/>
  <c r="T10" i="17"/>
  <c r="T12" i="17"/>
  <c r="T13" i="17"/>
  <c r="Y13" i="17"/>
  <c r="T16" i="17"/>
  <c r="Y16" i="17"/>
  <c r="Y17" i="17"/>
  <c r="Y19" i="17"/>
  <c r="Y20" i="17"/>
  <c r="W22" i="17"/>
  <c r="U24" i="17"/>
  <c r="U26" i="17"/>
  <c r="U27" i="17"/>
  <c r="V28" i="17"/>
  <c r="Y28" i="17"/>
  <c r="AH46" i="17"/>
  <c r="AM46" i="17"/>
  <c r="AO46" i="17"/>
  <c r="AQ46" i="17"/>
  <c r="AI47" i="17"/>
  <c r="AK47" i="17"/>
  <c r="AN47" i="17"/>
  <c r="AP47" i="17"/>
  <c r="AR47" i="17"/>
  <c r="Y49" i="17"/>
  <c r="AI49" i="17"/>
  <c r="AK49" i="17"/>
  <c r="AN49" i="17"/>
  <c r="AP49" i="17"/>
  <c r="AR49" i="17"/>
  <c r="AI50" i="17"/>
  <c r="AK50" i="17"/>
  <c r="AN50" i="17"/>
  <c r="AP50" i="17"/>
  <c r="AR50" i="17"/>
  <c r="X51" i="17"/>
  <c r="AH51" i="17"/>
  <c r="AJ51" i="17"/>
  <c r="AM51" i="17"/>
  <c r="AO51" i="17"/>
  <c r="AQ51" i="17"/>
  <c r="AS51" i="17"/>
  <c r="AH53" i="17"/>
  <c r="AJ53" i="17"/>
  <c r="AM53" i="17"/>
  <c r="AO53" i="17"/>
  <c r="AQ53" i="17"/>
  <c r="AS53" i="17"/>
  <c r="Y54" i="17"/>
  <c r="AI54" i="17"/>
  <c r="AK54" i="17"/>
  <c r="AN54" i="17"/>
  <c r="AP54" i="17"/>
  <c r="AR54" i="17"/>
  <c r="Y55" i="17"/>
  <c r="AI55" i="17"/>
  <c r="AK55" i="17"/>
  <c r="AN55" i="17"/>
  <c r="AP55" i="17"/>
  <c r="AR55" i="17"/>
  <c r="X35" i="17"/>
  <c r="Z35" i="17" s="1"/>
  <c r="AH35" i="17"/>
  <c r="AJ35" i="17"/>
  <c r="AM35" i="17"/>
  <c r="AO35" i="17"/>
  <c r="AQ35" i="17"/>
  <c r="AS35" i="17"/>
  <c r="AH36" i="17"/>
  <c r="AJ36" i="17"/>
  <c r="AM36" i="17"/>
  <c r="AO36" i="17"/>
  <c r="AQ36" i="17"/>
  <c r="AS36" i="17"/>
  <c r="Y37" i="17"/>
  <c r="AI37" i="17"/>
  <c r="AK37" i="17"/>
  <c r="AN37" i="17"/>
  <c r="AP37" i="17"/>
  <c r="AR37" i="17"/>
  <c r="X38" i="17"/>
  <c r="AH38" i="17"/>
  <c r="AJ38" i="17"/>
  <c r="AM38" i="17"/>
  <c r="AO38" i="17"/>
  <c r="AQ38" i="17"/>
  <c r="AS38" i="17"/>
  <c r="Y39" i="17"/>
  <c r="AI39" i="17"/>
  <c r="AK39" i="17"/>
  <c r="AN39" i="17"/>
  <c r="AP39" i="17"/>
  <c r="AR39" i="17"/>
  <c r="X40" i="17"/>
  <c r="AH40" i="17"/>
  <c r="AJ40" i="17"/>
  <c r="AM40" i="17"/>
  <c r="AO40" i="17"/>
  <c r="AQ40" i="17"/>
  <c r="AS40" i="17"/>
  <c r="Y41" i="17"/>
  <c r="AI41" i="17"/>
  <c r="AK41" i="17"/>
  <c r="AN41" i="17"/>
  <c r="AP41" i="17"/>
  <c r="AR41" i="17"/>
  <c r="X42" i="17"/>
  <c r="AH42" i="17"/>
  <c r="AJ42" i="17"/>
  <c r="AM42" i="17"/>
  <c r="AO42" i="17"/>
  <c r="AQ42" i="17"/>
  <c r="AS42" i="17"/>
  <c r="Y43" i="17"/>
  <c r="AA43" i="17" s="1"/>
  <c r="AI43" i="17"/>
  <c r="AK43" i="17"/>
  <c r="AN43" i="17"/>
  <c r="AP43" i="17"/>
  <c r="AR43" i="17"/>
  <c r="X44" i="17"/>
  <c r="AH44" i="17"/>
  <c r="AJ44" i="17"/>
  <c r="AM44" i="17"/>
  <c r="AO44" i="17"/>
  <c r="AQ44" i="17"/>
  <c r="AS44" i="17"/>
  <c r="Y45" i="17"/>
  <c r="AI45" i="17"/>
  <c r="AJ45" i="17"/>
  <c r="AK45" i="17"/>
  <c r="AM45" i="17"/>
  <c r="AN45" i="17"/>
  <c r="AO45" i="17"/>
  <c r="AP45" i="17"/>
  <c r="AQ45" i="17"/>
  <c r="AR45" i="17"/>
  <c r="AS45" i="17"/>
  <c r="E3" i="17"/>
  <c r="F3" i="17"/>
  <c r="G3" i="17"/>
  <c r="H3" i="17"/>
  <c r="J3" i="17"/>
  <c r="K3" i="17"/>
  <c r="M3" i="17"/>
  <c r="N3" i="17"/>
  <c r="P3" i="17"/>
  <c r="Q3" i="17"/>
  <c r="R3" i="17"/>
  <c r="S3" i="17"/>
  <c r="T3" i="17"/>
  <c r="U3" i="17"/>
  <c r="V3" i="17"/>
  <c r="Y3" i="17"/>
  <c r="E30" i="17"/>
  <c r="F30" i="17"/>
  <c r="G30" i="17"/>
  <c r="H30" i="17"/>
  <c r="J30" i="17"/>
  <c r="K30" i="17"/>
  <c r="M30" i="17"/>
  <c r="N30" i="17"/>
  <c r="P30" i="17"/>
  <c r="Q30" i="17"/>
  <c r="R30" i="17"/>
  <c r="S30" i="17"/>
  <c r="T30" i="17"/>
  <c r="U30" i="17"/>
  <c r="V30" i="17"/>
  <c r="W30" i="17"/>
  <c r="X30" i="17"/>
  <c r="Y30" i="17"/>
  <c r="Z30" i="17"/>
  <c r="AA30" i="17"/>
  <c r="AB30" i="17"/>
  <c r="AC30" i="17"/>
  <c r="AD30" i="17"/>
  <c r="AE30" i="17"/>
  <c r="AF30" i="17"/>
  <c r="AG30" i="17"/>
  <c r="AH30" i="17"/>
  <c r="AI30" i="17"/>
  <c r="AJ30" i="17"/>
  <c r="AK30" i="17"/>
  <c r="AM30" i="17"/>
  <c r="AN30" i="17"/>
  <c r="AO30" i="17"/>
  <c r="AP30" i="17"/>
  <c r="AR30" i="17"/>
  <c r="AS30" i="17"/>
  <c r="AB34" i="17"/>
  <c r="AC34" i="17" s="1"/>
  <c r="AB35" i="17"/>
  <c r="AC35" i="17"/>
  <c r="AB36" i="17"/>
  <c r="AC36" i="17" s="1"/>
  <c r="AB37" i="17"/>
  <c r="AC37" i="17"/>
  <c r="AB38" i="17"/>
  <c r="AC38" i="17" s="1"/>
  <c r="AB39" i="17"/>
  <c r="AC39" i="17"/>
  <c r="AB40" i="17"/>
  <c r="AC40" i="17" s="1"/>
  <c r="AB41" i="17"/>
  <c r="AC41" i="17"/>
  <c r="AB42" i="17"/>
  <c r="AC42" i="17" s="1"/>
  <c r="AB43" i="17"/>
  <c r="AC43" i="17"/>
  <c r="AB44" i="17"/>
  <c r="AC44" i="17" s="1"/>
  <c r="AB45" i="17"/>
  <c r="AC45" i="17"/>
  <c r="AB46" i="17"/>
  <c r="AC46" i="17" s="1"/>
  <c r="AB47" i="17"/>
  <c r="AC47" i="17"/>
  <c r="AB49" i="17"/>
  <c r="AC49" i="17" s="1"/>
  <c r="AB50" i="17"/>
  <c r="AC50" i="17"/>
  <c r="AB51" i="17"/>
  <c r="AC51" i="17" s="1"/>
  <c r="AB53" i="17"/>
  <c r="AC53" i="17"/>
  <c r="AB54" i="17"/>
  <c r="AC54" i="17" s="1"/>
  <c r="AB55" i="17"/>
  <c r="AC55" i="17"/>
  <c r="V56" i="17"/>
  <c r="W56" i="17"/>
  <c r="X56" i="17"/>
  <c r="Y56" i="17"/>
  <c r="Z56" i="17"/>
  <c r="AA56" i="17"/>
  <c r="AB56" i="17"/>
  <c r="AC56" i="17"/>
  <c r="AD56" i="17"/>
  <c r="AE56" i="17"/>
  <c r="AF56" i="17"/>
  <c r="AG56" i="17"/>
  <c r="AB60" i="17"/>
  <c r="AC60" i="17" s="1"/>
  <c r="AB61" i="17"/>
  <c r="AC61" i="17"/>
  <c r="AB62" i="17"/>
  <c r="AC62" i="17" s="1"/>
  <c r="AB63" i="17"/>
  <c r="AC63" i="17"/>
  <c r="AB64" i="17"/>
  <c r="AC64" i="17" s="1"/>
  <c r="AB65" i="17"/>
  <c r="AC65" i="17"/>
  <c r="AB66" i="17"/>
  <c r="AC66" i="17" s="1"/>
  <c r="AB67" i="17"/>
  <c r="AC67" i="17"/>
  <c r="AB68" i="17"/>
  <c r="AC68" i="17" s="1"/>
  <c r="AB69" i="17"/>
  <c r="AC69" i="17"/>
  <c r="AB70" i="17"/>
  <c r="AC70" i="17" s="1"/>
  <c r="AB71" i="17"/>
  <c r="AC71" i="17"/>
  <c r="AB72" i="17"/>
  <c r="AC72" i="17" s="1"/>
  <c r="AB73" i="17"/>
  <c r="AC73" i="17"/>
  <c r="AB75" i="17"/>
  <c r="AC75" i="17" s="1"/>
  <c r="AB76" i="17"/>
  <c r="AC76" i="17"/>
  <c r="AB77" i="17"/>
  <c r="AC77" i="17" s="1"/>
  <c r="AB79" i="17"/>
  <c r="AC79" i="17"/>
  <c r="AB80" i="17"/>
  <c r="AC80" i="17" s="1"/>
  <c r="AB81" i="17"/>
  <c r="AC81" i="17"/>
  <c r="S82" i="17"/>
  <c r="T82" i="17"/>
  <c r="U82" i="17"/>
  <c r="V82" i="17"/>
  <c r="W82" i="17"/>
  <c r="X82" i="17"/>
  <c r="Y82" i="17"/>
  <c r="Z82" i="17"/>
  <c r="AA82" i="17"/>
  <c r="AB82" i="17"/>
  <c r="AC82" i="17"/>
  <c r="AD82" i="17"/>
  <c r="AE82" i="17"/>
  <c r="AF82" i="17"/>
  <c r="AG82" i="17"/>
  <c r="AP82" i="17"/>
  <c r="AB86" i="17"/>
  <c r="AC86" i="17" s="1"/>
  <c r="AP86" i="17"/>
  <c r="AB87" i="17"/>
  <c r="AC87" i="17" s="1"/>
  <c r="AP87" i="17"/>
  <c r="AB88" i="17"/>
  <c r="AC88" i="17"/>
  <c r="AP88" i="17"/>
  <c r="AB89" i="17"/>
  <c r="AC89" i="17" s="1"/>
  <c r="AP89" i="17"/>
  <c r="AB90" i="17"/>
  <c r="AC90" i="17"/>
  <c r="AP90" i="17"/>
  <c r="AB91" i="17"/>
  <c r="AC91" i="17" s="1"/>
  <c r="AP91" i="17"/>
  <c r="AB92" i="17"/>
  <c r="AC92" i="17" s="1"/>
  <c r="AP92" i="17"/>
  <c r="AB93" i="17"/>
  <c r="AC93" i="17" s="1"/>
  <c r="AP93" i="17"/>
  <c r="AB94" i="17"/>
  <c r="AC94" i="17" s="1"/>
  <c r="AP94" i="17"/>
  <c r="AB95" i="17"/>
  <c r="AC95" i="17" s="1"/>
  <c r="AP95" i="17"/>
  <c r="AB96" i="17"/>
  <c r="AC96" i="17"/>
  <c r="AP96" i="17"/>
  <c r="AB97" i="17"/>
  <c r="AC97" i="17" s="1"/>
  <c r="AP97" i="17"/>
  <c r="AB98" i="17"/>
  <c r="AC98" i="17"/>
  <c r="AP98" i="17"/>
  <c r="AB99" i="17"/>
  <c r="AC99" i="17" s="1"/>
  <c r="AP99" i="17"/>
  <c r="AB101" i="17"/>
  <c r="AC101" i="17" s="1"/>
  <c r="AP101" i="17"/>
  <c r="AB102" i="17"/>
  <c r="AC102" i="17" s="1"/>
  <c r="AP102" i="17"/>
  <c r="AB103" i="17"/>
  <c r="AC103" i="17" s="1"/>
  <c r="AP103" i="17"/>
  <c r="AB105" i="17"/>
  <c r="AC105" i="17" s="1"/>
  <c r="AP105" i="17"/>
  <c r="AB106" i="17"/>
  <c r="AC106" i="17"/>
  <c r="AP106" i="17"/>
  <c r="AB107" i="17"/>
  <c r="AC107" i="17" s="1"/>
  <c r="AP107" i="17"/>
  <c r="S108" i="17"/>
  <c r="T108" i="17"/>
  <c r="U108" i="17"/>
  <c r="V108" i="17"/>
  <c r="W108" i="17"/>
  <c r="X108" i="17"/>
  <c r="Y108" i="17"/>
  <c r="Z108" i="17"/>
  <c r="AA108" i="17"/>
  <c r="AB108" i="17"/>
  <c r="AC108" i="17"/>
  <c r="AD108" i="17"/>
  <c r="AE108" i="17"/>
  <c r="AF108" i="17"/>
  <c r="AG108" i="17"/>
  <c r="AR108" i="17"/>
  <c r="AB112" i="17"/>
  <c r="AC112" i="17"/>
  <c r="AR112" i="17"/>
  <c r="AB113" i="17"/>
  <c r="AC113" i="17" s="1"/>
  <c r="AR113" i="17"/>
  <c r="AB114" i="17"/>
  <c r="AC114" i="17" s="1"/>
  <c r="AR114" i="17"/>
  <c r="AB115" i="17"/>
  <c r="AC115" i="17" s="1"/>
  <c r="AR115" i="17"/>
  <c r="AB116" i="17"/>
  <c r="AC116" i="17" s="1"/>
  <c r="AR116" i="17"/>
  <c r="AB117" i="17"/>
  <c r="AC117" i="17" s="1"/>
  <c r="AR117" i="17"/>
  <c r="AB118" i="17"/>
  <c r="AC118" i="17"/>
  <c r="AR118" i="17"/>
  <c r="AB119" i="17"/>
  <c r="AC119" i="17" s="1"/>
  <c r="AR119" i="17"/>
  <c r="AB120" i="17"/>
  <c r="AC120" i="17"/>
  <c r="AR120" i="17"/>
  <c r="AB121" i="17"/>
  <c r="AC121" i="17" s="1"/>
  <c r="AR121" i="17"/>
  <c r="AB122" i="17"/>
  <c r="AC122" i="17" s="1"/>
  <c r="AR122" i="17"/>
  <c r="AB123" i="17"/>
  <c r="AC123" i="17" s="1"/>
  <c r="AR123" i="17"/>
  <c r="AB124" i="17"/>
  <c r="AC124" i="17" s="1"/>
  <c r="AR124" i="17"/>
  <c r="AB125" i="17"/>
  <c r="AC125" i="17" s="1"/>
  <c r="AR125" i="17"/>
  <c r="AB127" i="17"/>
  <c r="AC127" i="17"/>
  <c r="AR127" i="17"/>
  <c r="AB128" i="17"/>
  <c r="AC128" i="17" s="1"/>
  <c r="AR128" i="17"/>
  <c r="AB129" i="17"/>
  <c r="AC129" i="17"/>
  <c r="AR129" i="17"/>
  <c r="AB131" i="17"/>
  <c r="AC131" i="17" s="1"/>
  <c r="AR131" i="17"/>
  <c r="AB132" i="17"/>
  <c r="AC132" i="17" s="1"/>
  <c r="AR132" i="17"/>
  <c r="AB133" i="17"/>
  <c r="AC133" i="17" s="1"/>
  <c r="AR133" i="17"/>
  <c r="X23" i="17"/>
  <c r="AV36" i="17"/>
  <c r="AV40" i="17"/>
  <c r="AV44" i="17"/>
  <c r="AV49" i="17"/>
  <c r="AV54" i="17"/>
  <c r="AV60" i="17"/>
  <c r="AV73" i="17"/>
  <c r="AV72" i="17"/>
  <c r="AV71" i="17"/>
  <c r="AV70" i="17"/>
  <c r="AV69" i="17"/>
  <c r="AV68" i="17"/>
  <c r="AV67" i="17"/>
  <c r="AV66" i="17"/>
  <c r="AV65" i="17"/>
  <c r="AV64" i="17"/>
  <c r="AV63" i="17"/>
  <c r="AV62" i="17"/>
  <c r="AV61" i="17"/>
  <c r="AV75" i="17"/>
  <c r="AV76" i="17"/>
  <c r="AV77" i="17"/>
  <c r="AV79" i="17"/>
  <c r="AV80" i="17"/>
  <c r="AV81" i="17"/>
  <c r="AV86" i="17"/>
  <c r="AV99" i="17"/>
  <c r="AV98" i="17"/>
  <c r="AV97" i="17"/>
  <c r="AV96" i="17"/>
  <c r="AV95" i="17"/>
  <c r="AV94" i="17"/>
  <c r="AV93" i="17"/>
  <c r="AV92" i="17"/>
  <c r="AV91" i="17"/>
  <c r="AV90" i="17"/>
  <c r="AV89" i="17"/>
  <c r="AV88" i="17"/>
  <c r="AV87" i="17"/>
  <c r="AV101" i="17"/>
  <c r="AV102" i="17"/>
  <c r="AV103" i="17"/>
  <c r="AV105" i="17"/>
  <c r="AV106" i="17"/>
  <c r="AV107" i="17"/>
  <c r="AV112" i="17"/>
  <c r="AV125" i="17"/>
  <c r="AV124" i="17"/>
  <c r="AV123" i="17"/>
  <c r="AV122" i="17"/>
  <c r="AV121" i="17"/>
  <c r="AV120" i="17"/>
  <c r="AV119" i="17"/>
  <c r="AV118" i="17"/>
  <c r="AV117" i="17"/>
  <c r="AV116" i="17"/>
  <c r="AV115" i="17"/>
  <c r="AV114" i="17"/>
  <c r="AV113" i="17"/>
  <c r="AV127" i="17"/>
  <c r="AV128" i="17"/>
  <c r="AV129" i="17"/>
  <c r="AV131" i="17"/>
  <c r="B2" i="24"/>
  <c r="Z7" i="24" s="1"/>
  <c r="M7" i="24"/>
  <c r="M8" i="24"/>
  <c r="M10" i="24"/>
  <c r="M11" i="24"/>
  <c r="M13" i="24"/>
  <c r="M14" i="24"/>
  <c r="R20" i="24"/>
  <c r="R21" i="24"/>
  <c r="R22" i="24"/>
  <c r="U30" i="24"/>
  <c r="R32" i="24"/>
  <c r="T30" i="24"/>
  <c r="R33" i="24"/>
  <c r="R34" i="24"/>
  <c r="R44" i="24"/>
  <c r="R45" i="24"/>
  <c r="R46" i="24"/>
  <c r="U54" i="24"/>
  <c r="R56" i="24"/>
  <c r="T54" i="24"/>
  <c r="R57" i="24"/>
  <c r="R58" i="24"/>
  <c r="R26" i="24"/>
  <c r="R27" i="24"/>
  <c r="R28" i="24"/>
  <c r="R38" i="24"/>
  <c r="R39" i="24"/>
  <c r="R40" i="24"/>
  <c r="R50" i="24"/>
  <c r="R51" i="24"/>
  <c r="R52" i="24"/>
  <c r="R62" i="24"/>
  <c r="R63" i="24"/>
  <c r="R64" i="24"/>
  <c r="B2" i="10"/>
  <c r="AF16" i="10" s="1"/>
  <c r="AN29" i="10"/>
  <c r="V26" i="10"/>
  <c r="AO26" i="10" s="1"/>
  <c r="AA3" i="10"/>
  <c r="AF23" i="10"/>
  <c r="V64" i="10"/>
  <c r="W64" i="10" s="1"/>
  <c r="V63" i="10"/>
  <c r="W63" i="10" s="1"/>
  <c r="AL63" i="10"/>
  <c r="V62" i="10"/>
  <c r="W62" i="10"/>
  <c r="V57" i="10"/>
  <c r="W57" i="10" s="1"/>
  <c r="AP57" i="10" s="1"/>
  <c r="AO57" i="10"/>
  <c r="V58" i="10"/>
  <c r="W58" i="10" s="1"/>
  <c r="V56" i="10"/>
  <c r="W56" i="10" s="1"/>
  <c r="AL56" i="10"/>
  <c r="V52" i="10"/>
  <c r="W52" i="10"/>
  <c r="AJ52" i="10"/>
  <c r="V51" i="10"/>
  <c r="V50" i="10"/>
  <c r="W50" i="10"/>
  <c r="AP50" i="10" s="1"/>
  <c r="V45" i="10"/>
  <c r="W45" i="10" s="1"/>
  <c r="AJ45" i="10"/>
  <c r="V46" i="10"/>
  <c r="W46" i="10"/>
  <c r="V44" i="10"/>
  <c r="W44" i="10" s="1"/>
  <c r="AJ44" i="10"/>
  <c r="V40" i="10"/>
  <c r="W40" i="10"/>
  <c r="V39" i="10"/>
  <c r="W39" i="10" s="1"/>
  <c r="V38" i="10"/>
  <c r="W38" i="10"/>
  <c r="AP38" i="10" s="1"/>
  <c r="V33" i="10"/>
  <c r="W33" i="10" s="1"/>
  <c r="V34" i="10"/>
  <c r="V32" i="10"/>
  <c r="AM27" i="10"/>
  <c r="AM28" i="10"/>
  <c r="AN59" i="10"/>
  <c r="AN47" i="10"/>
  <c r="AN23" i="10"/>
  <c r="AN16" i="10"/>
  <c r="AP47" i="10"/>
  <c r="AP41" i="10"/>
  <c r="AP35" i="10"/>
  <c r="V28" i="10"/>
  <c r="W28" i="10"/>
  <c r="V27" i="10"/>
  <c r="AP23" i="10"/>
  <c r="V22" i="10"/>
  <c r="W22" i="10" s="1"/>
  <c r="V21" i="10"/>
  <c r="V20" i="10"/>
  <c r="W20" i="10" s="1"/>
  <c r="AP16" i="10"/>
  <c r="AO59" i="10"/>
  <c r="AO47" i="10"/>
  <c r="AO41" i="10"/>
  <c r="AO35" i="10"/>
  <c r="AO28" i="10"/>
  <c r="AO23" i="10"/>
  <c r="AO16" i="10"/>
  <c r="M14" i="10"/>
  <c r="X14" i="10"/>
  <c r="M13" i="10"/>
  <c r="X13" i="10" s="1"/>
  <c r="M11" i="10"/>
  <c r="X11" i="10"/>
  <c r="M10" i="10"/>
  <c r="X10" i="10" s="1"/>
  <c r="M8" i="10"/>
  <c r="X8" i="10"/>
  <c r="M7" i="10"/>
  <c r="X7" i="10" s="1"/>
  <c r="X3" i="10"/>
  <c r="Y3" i="10"/>
  <c r="Y18" i="10"/>
  <c r="X18" i="10"/>
  <c r="AE14" i="10"/>
  <c r="AD14" i="10"/>
  <c r="AE12" i="10"/>
  <c r="AD12" i="10"/>
  <c r="AK27" i="10"/>
  <c r="AK28" i="10"/>
  <c r="AK26" i="10"/>
  <c r="AK20" i="10"/>
  <c r="AB26" i="10"/>
  <c r="AC26" i="10"/>
  <c r="AD26" i="10"/>
  <c r="AE26" i="10"/>
  <c r="AG26" i="10"/>
  <c r="AH26" i="10"/>
  <c r="AI26" i="10"/>
  <c r="AJ26" i="10"/>
  <c r="AL26" i="10"/>
  <c r="AA23" i="10"/>
  <c r="Z23" i="10"/>
  <c r="Y23" i="10"/>
  <c r="X23" i="10"/>
  <c r="W23" i="10"/>
  <c r="V23" i="10"/>
  <c r="AM23" i="10"/>
  <c r="AL23" i="10"/>
  <c r="AK23" i="10"/>
  <c r="AJ23" i="10"/>
  <c r="AI23" i="10"/>
  <c r="AH23" i="10"/>
  <c r="AG23" i="10"/>
  <c r="AE23" i="10"/>
  <c r="AD23" i="10"/>
  <c r="AC23" i="10"/>
  <c r="AB23" i="10"/>
  <c r="U23" i="10"/>
  <c r="T23" i="10"/>
  <c r="S23" i="10"/>
  <c r="R23" i="10"/>
  <c r="Q23" i="10"/>
  <c r="N23" i="10"/>
  <c r="M23" i="10"/>
  <c r="K23" i="10"/>
  <c r="I23" i="10"/>
  <c r="H23" i="10"/>
  <c r="G23" i="10"/>
  <c r="F23" i="10"/>
  <c r="E23" i="10"/>
  <c r="AA59" i="10"/>
  <c r="Z59" i="10"/>
  <c r="Y59" i="10"/>
  <c r="X59" i="10"/>
  <c r="AA47" i="10"/>
  <c r="Z47" i="10"/>
  <c r="Y47" i="10"/>
  <c r="X47" i="10"/>
  <c r="AA35" i="10"/>
  <c r="Z35" i="10"/>
  <c r="Y35" i="10"/>
  <c r="X35" i="10"/>
  <c r="AL59" i="10"/>
  <c r="U59" i="10"/>
  <c r="T59" i="10"/>
  <c r="AJ47" i="10"/>
  <c r="U47" i="10"/>
  <c r="T47" i="10"/>
  <c r="AA29" i="10"/>
  <c r="Z29" i="10"/>
  <c r="Y29" i="10"/>
  <c r="X29" i="10"/>
  <c r="U29" i="10"/>
  <c r="U35" i="10"/>
  <c r="AB28" i="10"/>
  <c r="AC28" i="10"/>
  <c r="AD28" i="10"/>
  <c r="AE28" i="10"/>
  <c r="AG28" i="10"/>
  <c r="AH28" i="10"/>
  <c r="AI28" i="10"/>
  <c r="AJ28" i="10"/>
  <c r="AL28" i="10"/>
  <c r="AB27" i="10"/>
  <c r="AC27" i="10"/>
  <c r="AD27" i="10"/>
  <c r="AE27" i="10"/>
  <c r="AG27" i="10"/>
  <c r="AH27" i="10"/>
  <c r="AI27" i="10"/>
  <c r="AJ27" i="10"/>
  <c r="AL27" i="10"/>
  <c r="U7" i="10"/>
  <c r="Z7" i="10"/>
  <c r="W7" i="10"/>
  <c r="V7" i="10"/>
  <c r="U8" i="10"/>
  <c r="Z8" i="10"/>
  <c r="W8" i="10"/>
  <c r="V8" i="10"/>
  <c r="U10" i="10"/>
  <c r="Z10" i="10"/>
  <c r="W10" i="10"/>
  <c r="V10" i="10"/>
  <c r="U11" i="10"/>
  <c r="Z11" i="10"/>
  <c r="W11" i="10"/>
  <c r="V11" i="10"/>
  <c r="U13" i="10"/>
  <c r="Z13" i="10"/>
  <c r="W13" i="10"/>
  <c r="V13" i="10"/>
  <c r="U14" i="10"/>
  <c r="Z14" i="10"/>
  <c r="W14" i="10"/>
  <c r="V14" i="10"/>
  <c r="Y20" i="10"/>
  <c r="AA20" i="10" s="1"/>
  <c r="AB20" i="10"/>
  <c r="AC20" i="10"/>
  <c r="AD20" i="10"/>
  <c r="AE20" i="10"/>
  <c r="AG20" i="10"/>
  <c r="AH20" i="10"/>
  <c r="AI20" i="10"/>
  <c r="AJ20" i="10"/>
  <c r="AL20" i="10"/>
  <c r="AM20" i="10"/>
  <c r="AB21" i="10"/>
  <c r="AC21" i="10"/>
  <c r="AD21" i="10"/>
  <c r="AE21" i="10"/>
  <c r="AG21" i="10"/>
  <c r="AH21" i="10"/>
  <c r="AI21" i="10"/>
  <c r="AJ21" i="10"/>
  <c r="AK21" i="10"/>
  <c r="AL21" i="10"/>
  <c r="AM21" i="10"/>
  <c r="AB22" i="10"/>
  <c r="AC22" i="10"/>
  <c r="AD22" i="10"/>
  <c r="AE22" i="10"/>
  <c r="AG22" i="10"/>
  <c r="AH22" i="10"/>
  <c r="AI22" i="10"/>
  <c r="AJ22" i="10"/>
  <c r="AK22" i="10"/>
  <c r="AL22" i="10"/>
  <c r="AM22" i="10"/>
  <c r="E3" i="10"/>
  <c r="F3" i="10"/>
  <c r="G3" i="10"/>
  <c r="H3" i="10"/>
  <c r="I3" i="10"/>
  <c r="K3" i="10"/>
  <c r="M3" i="10"/>
  <c r="N3" i="10"/>
  <c r="Q3" i="10"/>
  <c r="R3" i="10"/>
  <c r="S3" i="10"/>
  <c r="T3" i="10"/>
  <c r="U3" i="10"/>
  <c r="V3" i="10"/>
  <c r="W3" i="10"/>
  <c r="Z3" i="10"/>
  <c r="E16" i="10"/>
  <c r="F16" i="10"/>
  <c r="G16" i="10"/>
  <c r="H16" i="10"/>
  <c r="I16" i="10"/>
  <c r="K16" i="10"/>
  <c r="M16" i="10"/>
  <c r="N16" i="10"/>
  <c r="Q16" i="10"/>
  <c r="R16" i="10"/>
  <c r="S16" i="10"/>
  <c r="T16" i="10"/>
  <c r="U16" i="10"/>
  <c r="V16" i="10"/>
  <c r="W16" i="10"/>
  <c r="X16" i="10"/>
  <c r="Y16" i="10"/>
  <c r="Z16" i="10"/>
  <c r="AA16" i="10"/>
  <c r="AB16" i="10"/>
  <c r="AC16" i="10"/>
  <c r="AD16" i="10"/>
  <c r="AE16" i="10"/>
  <c r="AG16" i="10"/>
  <c r="AH16" i="10"/>
  <c r="AI16" i="10"/>
  <c r="AJ16" i="10"/>
  <c r="AK16" i="10"/>
  <c r="AL16" i="10"/>
  <c r="AM16" i="10"/>
  <c r="T41" i="10"/>
  <c r="U41" i="10"/>
  <c r="X41" i="10"/>
  <c r="Y41" i="10"/>
  <c r="Z41" i="10"/>
  <c r="AA41" i="10"/>
  <c r="AJ41" i="10"/>
  <c r="T53" i="10"/>
  <c r="U53" i="10"/>
  <c r="X53" i="10"/>
  <c r="Y53" i="10"/>
  <c r="Z53" i="10"/>
  <c r="AA53" i="10"/>
  <c r="AL53" i="10"/>
  <c r="AP44" i="10"/>
  <c r="Y22" i="10"/>
  <c r="AA22" i="10" s="1"/>
  <c r="Y21" i="10"/>
  <c r="Y27" i="10"/>
  <c r="X27" i="10"/>
  <c r="Y28" i="10"/>
  <c r="Y26" i="10"/>
  <c r="AO20" i="10"/>
  <c r="AO22" i="10"/>
  <c r="AO44" i="10"/>
  <c r="B2" i="28"/>
  <c r="V14" i="28" s="1"/>
  <c r="AK23" i="28"/>
  <c r="AB67" i="28"/>
  <c r="AB66" i="28"/>
  <c r="AB65" i="28"/>
  <c r="AC65" i="28" s="1"/>
  <c r="AX65" i="28" s="1"/>
  <c r="AW62" i="28"/>
  <c r="V67" i="28"/>
  <c r="W67" i="28" s="1"/>
  <c r="AV67" i="28" s="1"/>
  <c r="V66" i="28"/>
  <c r="AU66" i="28" s="1"/>
  <c r="W66" i="28"/>
  <c r="AV66" i="28" s="1"/>
  <c r="V65" i="28"/>
  <c r="AB61" i="28"/>
  <c r="AB60" i="28"/>
  <c r="AC60" i="28"/>
  <c r="AX60" i="28" s="1"/>
  <c r="AB59" i="28"/>
  <c r="AX55" i="28"/>
  <c r="V61" i="28"/>
  <c r="AU61" i="28"/>
  <c r="V60" i="28"/>
  <c r="AU60" i="28"/>
  <c r="V59" i="28"/>
  <c r="W59" i="28"/>
  <c r="AV59" i="28" s="1"/>
  <c r="V54" i="28"/>
  <c r="V53" i="28"/>
  <c r="AU53" i="28"/>
  <c r="V52" i="28"/>
  <c r="AU49" i="28"/>
  <c r="AB54" i="28"/>
  <c r="AB53" i="28"/>
  <c r="AW53" i="28"/>
  <c r="AB52" i="28"/>
  <c r="AX49" i="28"/>
  <c r="AB48" i="28"/>
  <c r="AC48" i="28"/>
  <c r="AX48" i="28" s="1"/>
  <c r="AB47" i="28"/>
  <c r="AC47" i="28"/>
  <c r="AB46" i="28"/>
  <c r="AC46" i="28"/>
  <c r="AX46" i="28" s="1"/>
  <c r="AW42" i="28"/>
  <c r="V48" i="28"/>
  <c r="AU48" i="28"/>
  <c r="V47" i="28"/>
  <c r="V46" i="28"/>
  <c r="W46" i="28"/>
  <c r="AT62" i="28"/>
  <c r="AT36" i="28"/>
  <c r="V41" i="28"/>
  <c r="AU41" i="28"/>
  <c r="V40" i="28"/>
  <c r="AU40" i="28" s="1"/>
  <c r="V39" i="28"/>
  <c r="W39" i="28" s="1"/>
  <c r="AU39" i="28"/>
  <c r="AB41" i="28"/>
  <c r="AW41" i="28" s="1"/>
  <c r="AB40" i="28"/>
  <c r="AW40" i="28" s="1"/>
  <c r="AB39" i="28"/>
  <c r="AX36" i="28"/>
  <c r="AB35" i="28"/>
  <c r="AC35" i="28"/>
  <c r="AX35" i="28" s="1"/>
  <c r="AB34" i="28"/>
  <c r="AC34" i="28" s="1"/>
  <c r="AB33" i="28"/>
  <c r="AC33" i="28" s="1"/>
  <c r="AX33" i="28" s="1"/>
  <c r="AW33" i="28"/>
  <c r="AX29" i="28"/>
  <c r="AW29" i="28"/>
  <c r="V35" i="28"/>
  <c r="AU35" i="28"/>
  <c r="V34" i="28"/>
  <c r="V33" i="28"/>
  <c r="W33" i="28"/>
  <c r="AV33" i="28" s="1"/>
  <c r="AS29" i="28"/>
  <c r="V28" i="28"/>
  <c r="AU28" i="28" s="1"/>
  <c r="V27" i="28"/>
  <c r="AU27" i="28" s="1"/>
  <c r="V26" i="28"/>
  <c r="AU26" i="28" s="1"/>
  <c r="AV23" i="28"/>
  <c r="AB28" i="28"/>
  <c r="AW28" i="28"/>
  <c r="AB27" i="28"/>
  <c r="AC27" i="28" s="1"/>
  <c r="AX27" i="28" s="1"/>
  <c r="AW27" i="28"/>
  <c r="AB26" i="28"/>
  <c r="AW26" i="28"/>
  <c r="AB22" i="28"/>
  <c r="AW22" i="28" s="1"/>
  <c r="AB21" i="28"/>
  <c r="AC21" i="28"/>
  <c r="AB20" i="28"/>
  <c r="AC20" i="28" s="1"/>
  <c r="AW21" i="28"/>
  <c r="V22" i="28"/>
  <c r="W22" i="28" s="1"/>
  <c r="AA22" i="28" s="1"/>
  <c r="V21" i="28"/>
  <c r="W21" i="28" s="1"/>
  <c r="AA21" i="28" s="1"/>
  <c r="V20" i="28"/>
  <c r="AU20" i="28" s="1"/>
  <c r="AT16" i="28"/>
  <c r="AH26" i="28"/>
  <c r="AH20" i="28"/>
  <c r="Y11" i="28"/>
  <c r="Z3" i="28"/>
  <c r="M14" i="28"/>
  <c r="W14" i="28" s="1"/>
  <c r="M13" i="28"/>
  <c r="M11" i="28"/>
  <c r="M10" i="28"/>
  <c r="M8" i="28"/>
  <c r="W8" i="28" s="1"/>
  <c r="M7" i="28"/>
  <c r="W11" i="28"/>
  <c r="T13" i="28"/>
  <c r="T10" i="28"/>
  <c r="T3" i="28"/>
  <c r="J16" i="28"/>
  <c r="E16" i="28"/>
  <c r="Y18" i="28"/>
  <c r="X22" i="28" s="1"/>
  <c r="U7" i="28"/>
  <c r="U10" i="28"/>
  <c r="U13" i="28"/>
  <c r="X18" i="28"/>
  <c r="Y28" i="28" s="1"/>
  <c r="AJ26" i="28"/>
  <c r="AM26" i="28"/>
  <c r="AO26" i="28"/>
  <c r="AQ26" i="28"/>
  <c r="X27" i="28"/>
  <c r="AJ27" i="28"/>
  <c r="AM27" i="28"/>
  <c r="AO27" i="28"/>
  <c r="AQ27" i="28"/>
  <c r="X28" i="28"/>
  <c r="AJ28" i="28"/>
  <c r="AM28" i="28"/>
  <c r="AO28" i="28"/>
  <c r="AQ28" i="28"/>
  <c r="Y21" i="28"/>
  <c r="AJ21" i="28"/>
  <c r="AM21" i="28"/>
  <c r="AO21" i="28"/>
  <c r="AQ21" i="28"/>
  <c r="Y22" i="28"/>
  <c r="AI22" i="28"/>
  <c r="AL22" i="28"/>
  <c r="AN22" i="28"/>
  <c r="AP22" i="28"/>
  <c r="AR22" i="28"/>
  <c r="AI20" i="28"/>
  <c r="AL20" i="28"/>
  <c r="AN20" i="28"/>
  <c r="AP20" i="28"/>
  <c r="AR20" i="28"/>
  <c r="AQ33" i="28"/>
  <c r="AO34" i="28"/>
  <c r="AR34" i="28"/>
  <c r="AQ35" i="28"/>
  <c r="AO39" i="28"/>
  <c r="AR39" i="28"/>
  <c r="AR40" i="28"/>
  <c r="AO41" i="28"/>
  <c r="AQ41" i="28"/>
  <c r="AM46" i="28"/>
  <c r="AO46" i="28"/>
  <c r="AQ46" i="28"/>
  <c r="AM47" i="28"/>
  <c r="AO47" i="28"/>
  <c r="AQ47" i="28"/>
  <c r="AM48" i="28"/>
  <c r="AO48" i="28"/>
  <c r="AQ48" i="28"/>
  <c r="AM52" i="28"/>
  <c r="AO52" i="28"/>
  <c r="AQ52" i="28"/>
  <c r="AM53" i="28"/>
  <c r="AO53" i="28"/>
  <c r="AQ53" i="28"/>
  <c r="AM54" i="28"/>
  <c r="AO54" i="28"/>
  <c r="AQ54" i="28"/>
  <c r="AR54" i="28"/>
  <c r="AO59" i="28"/>
  <c r="AQ59" i="28"/>
  <c r="AR59" i="28"/>
  <c r="AO60" i="28"/>
  <c r="AQ60" i="28"/>
  <c r="AR60" i="28"/>
  <c r="AO61" i="28"/>
  <c r="AQ61" i="28"/>
  <c r="AR61" i="28"/>
  <c r="AO65" i="28"/>
  <c r="AQ65" i="28"/>
  <c r="AR65" i="28"/>
  <c r="AO66" i="28"/>
  <c r="AQ66" i="28"/>
  <c r="AR66" i="28"/>
  <c r="AO67" i="28"/>
  <c r="AQ67" i="28"/>
  <c r="AR67" i="28"/>
  <c r="AP23" i="28"/>
  <c r="AO23" i="28"/>
  <c r="AM23" i="28"/>
  <c r="AL23" i="28"/>
  <c r="AM49" i="28"/>
  <c r="AR23" i="28"/>
  <c r="AQ23" i="28"/>
  <c r="V23" i="28"/>
  <c r="Y24" i="28"/>
  <c r="X24" i="28"/>
  <c r="AG23" i="28"/>
  <c r="AF23" i="28"/>
  <c r="AE23" i="28"/>
  <c r="AD23" i="28"/>
  <c r="AC23" i="28"/>
  <c r="AB23" i="28"/>
  <c r="AA23" i="28"/>
  <c r="Z23" i="28"/>
  <c r="Y23" i="28"/>
  <c r="X23" i="28"/>
  <c r="W23" i="28"/>
  <c r="U62" i="28"/>
  <c r="T62" i="28"/>
  <c r="S62" i="28"/>
  <c r="R62" i="28"/>
  <c r="Q62" i="28"/>
  <c r="U49" i="28"/>
  <c r="T49" i="28"/>
  <c r="S49" i="28"/>
  <c r="R49" i="28"/>
  <c r="Q49" i="28"/>
  <c r="U23" i="28"/>
  <c r="T23" i="28"/>
  <c r="R23" i="28"/>
  <c r="P23" i="28"/>
  <c r="AG49" i="28"/>
  <c r="AF49" i="28"/>
  <c r="AE49" i="28"/>
  <c r="AD49" i="28"/>
  <c r="AC49" i="28"/>
  <c r="AB49" i="28"/>
  <c r="AA49" i="28"/>
  <c r="Z49" i="28"/>
  <c r="Y49" i="28"/>
  <c r="X49" i="28"/>
  <c r="W49" i="28"/>
  <c r="V49" i="28"/>
  <c r="AG62" i="28"/>
  <c r="AF62" i="28"/>
  <c r="AE62" i="28"/>
  <c r="AD62" i="28"/>
  <c r="AC62" i="28"/>
  <c r="AB62" i="28"/>
  <c r="AA62" i="28"/>
  <c r="Z62" i="28"/>
  <c r="Y62" i="28"/>
  <c r="X62" i="28"/>
  <c r="W62" i="28"/>
  <c r="V62" i="28"/>
  <c r="AR62" i="28"/>
  <c r="AQ62" i="28"/>
  <c r="AO62" i="28"/>
  <c r="AR49" i="28"/>
  <c r="AQ49" i="28"/>
  <c r="AO49" i="28"/>
  <c r="AR36" i="28"/>
  <c r="AQ36" i="28"/>
  <c r="AO36" i="28"/>
  <c r="AG36" i="28"/>
  <c r="AF36" i="28"/>
  <c r="AE36" i="28"/>
  <c r="AD36" i="28"/>
  <c r="AC36" i="28"/>
  <c r="AB36" i="28"/>
  <c r="AA36" i="28"/>
  <c r="Z36" i="28"/>
  <c r="Y36" i="28"/>
  <c r="X36" i="28"/>
  <c r="W36" i="28"/>
  <c r="V36" i="28"/>
  <c r="Q36" i="28"/>
  <c r="AJ23" i="28"/>
  <c r="AI23" i="28"/>
  <c r="S23" i="28"/>
  <c r="Q23" i="28"/>
  <c r="N23" i="28"/>
  <c r="M23" i="28"/>
  <c r="K23" i="28"/>
  <c r="J23" i="28"/>
  <c r="G23" i="28"/>
  <c r="F23" i="28"/>
  <c r="E23" i="28"/>
  <c r="AR55" i="28"/>
  <c r="AQ55" i="28"/>
  <c r="AO55" i="28"/>
  <c r="AG55" i="28"/>
  <c r="AF55" i="28"/>
  <c r="AE55" i="28"/>
  <c r="AD55" i="28"/>
  <c r="AC55" i="28"/>
  <c r="AB55" i="28"/>
  <c r="AA55" i="28"/>
  <c r="Z55" i="28"/>
  <c r="Y55" i="28"/>
  <c r="X55" i="28"/>
  <c r="W55" i="28"/>
  <c r="V55" i="28"/>
  <c r="U55" i="28"/>
  <c r="T55" i="28"/>
  <c r="S55" i="28"/>
  <c r="R55" i="28"/>
  <c r="Q55" i="28"/>
  <c r="AR42" i="28"/>
  <c r="AQ42" i="28"/>
  <c r="AO42" i="28"/>
  <c r="AM42" i="28"/>
  <c r="AG42" i="28"/>
  <c r="AF42" i="28"/>
  <c r="AE42" i="28"/>
  <c r="AD42" i="28"/>
  <c r="AC42" i="28"/>
  <c r="AB42" i="28"/>
  <c r="AA42" i="28"/>
  <c r="Z42" i="28"/>
  <c r="Y42" i="28"/>
  <c r="X42" i="28"/>
  <c r="W42" i="28"/>
  <c r="V42" i="28"/>
  <c r="U42" i="28"/>
  <c r="T42" i="28"/>
  <c r="S42" i="28"/>
  <c r="R42" i="28"/>
  <c r="Q42" i="28"/>
  <c r="AR29" i="28"/>
  <c r="AQ29" i="28"/>
  <c r="AO29" i="28"/>
  <c r="AG29" i="28"/>
  <c r="AF29" i="28"/>
  <c r="AE29" i="28"/>
  <c r="AD29" i="28"/>
  <c r="AC29" i="28"/>
  <c r="AB29" i="28"/>
  <c r="AA29" i="28"/>
  <c r="Z29" i="28"/>
  <c r="Y29" i="28"/>
  <c r="X29" i="28"/>
  <c r="W29" i="28"/>
  <c r="V29" i="28"/>
  <c r="Q29" i="28"/>
  <c r="AR16" i="28"/>
  <c r="AQ16" i="28"/>
  <c r="AP16" i="28"/>
  <c r="AO16" i="28"/>
  <c r="AM16" i="28"/>
  <c r="AL16" i="28"/>
  <c r="AJ16" i="28"/>
  <c r="AI16" i="28"/>
  <c r="AG16" i="28"/>
  <c r="AF16" i="28"/>
  <c r="AE16" i="28"/>
  <c r="AD16" i="28"/>
  <c r="AC16" i="28"/>
  <c r="AB16" i="28"/>
  <c r="AA16" i="28"/>
  <c r="Z16" i="28"/>
  <c r="Y16" i="28"/>
  <c r="X16" i="28"/>
  <c r="W16" i="28"/>
  <c r="V16" i="28"/>
  <c r="U16" i="28"/>
  <c r="T16" i="28"/>
  <c r="S16" i="28"/>
  <c r="R16" i="28"/>
  <c r="Q16" i="28"/>
  <c r="P16" i="28"/>
  <c r="N16" i="28"/>
  <c r="M16" i="28"/>
  <c r="U3" i="28"/>
  <c r="S3" i="28"/>
  <c r="R3" i="28"/>
  <c r="Q3" i="28"/>
  <c r="P3" i="28"/>
  <c r="N3" i="28"/>
  <c r="M3" i="28"/>
  <c r="K3" i="28"/>
  <c r="J3" i="28"/>
  <c r="H3" i="28"/>
  <c r="G3" i="28"/>
  <c r="F3" i="28"/>
  <c r="E3" i="28"/>
  <c r="X20" i="28"/>
  <c r="AC26" i="28"/>
  <c r="AX26" i="28" s="1"/>
  <c r="AC40" i="28"/>
  <c r="AC41" i="28"/>
  <c r="AX41" i="28" s="1"/>
  <c r="AC52" i="28"/>
  <c r="AX52" i="28" s="1"/>
  <c r="AC53" i="28"/>
  <c r="AX53" i="28" s="1"/>
  <c r="AC54" i="28"/>
  <c r="AX54" i="28" s="1"/>
  <c r="L8" i="38"/>
  <c r="W8" i="38" s="1"/>
  <c r="L7" i="38"/>
  <c r="T7" i="38"/>
  <c r="Y7" i="38"/>
  <c r="V7" i="38"/>
  <c r="U7" i="38"/>
  <c r="T8" i="38"/>
  <c r="Y8" i="38"/>
  <c r="V8" i="38"/>
  <c r="U8" i="38"/>
  <c r="T10" i="38"/>
  <c r="Y10" i="38"/>
  <c r="L10" i="38"/>
  <c r="V10" i="38"/>
  <c r="U10" i="38"/>
  <c r="T11" i="38"/>
  <c r="Y11" i="38"/>
  <c r="L11" i="38"/>
  <c r="W11" i="38" s="1"/>
  <c r="V11" i="38"/>
  <c r="U11" i="38"/>
  <c r="T13" i="38"/>
  <c r="Y13" i="38"/>
  <c r="L13" i="38"/>
  <c r="M13" i="38" s="1"/>
  <c r="V13" i="38"/>
  <c r="U13" i="38"/>
  <c r="T14" i="38"/>
  <c r="Y14" i="38"/>
  <c r="L14" i="38"/>
  <c r="M14" i="38" s="1"/>
  <c r="V14" i="38"/>
  <c r="U14" i="38"/>
  <c r="R20" i="38"/>
  <c r="AO20" i="38" s="1"/>
  <c r="S20" i="38"/>
  <c r="AD20" i="38"/>
  <c r="AE20" i="38"/>
  <c r="AF20" i="38"/>
  <c r="AH20" i="38"/>
  <c r="AI20" i="38"/>
  <c r="AJ20" i="38"/>
  <c r="AK20" i="38"/>
  <c r="AL20" i="38"/>
  <c r="X20" i="38"/>
  <c r="AQ20" i="38"/>
  <c r="R21" i="38"/>
  <c r="AD21" i="38"/>
  <c r="AE21" i="38"/>
  <c r="AF21" i="38"/>
  <c r="AH21" i="38"/>
  <c r="AI21" i="38"/>
  <c r="AJ21" i="38"/>
  <c r="AK21" i="38"/>
  <c r="AL21" i="38"/>
  <c r="X21" i="38"/>
  <c r="AQ21" i="38"/>
  <c r="R22" i="38"/>
  <c r="S22" i="38"/>
  <c r="AP22" i="38" s="1"/>
  <c r="AD22" i="38"/>
  <c r="AE22" i="38"/>
  <c r="AF22" i="38"/>
  <c r="AH22" i="38"/>
  <c r="AI22" i="38"/>
  <c r="AJ22" i="38"/>
  <c r="AK22" i="38"/>
  <c r="AL22" i="38"/>
  <c r="AO22" i="38"/>
  <c r="X22" i="38"/>
  <c r="AQ22" i="38" s="1"/>
  <c r="S27" i="38"/>
  <c r="T27" i="38"/>
  <c r="AP27" i="38" s="1"/>
  <c r="AO27" i="38"/>
  <c r="Y27" i="38"/>
  <c r="Z27" i="38" s="1"/>
  <c r="AQ27" i="38"/>
  <c r="S28" i="38"/>
  <c r="AO28" i="38" s="1"/>
  <c r="T28" i="38"/>
  <c r="W28" i="38" s="1"/>
  <c r="Y28" i="38"/>
  <c r="AQ28" i="38"/>
  <c r="Z28" i="38"/>
  <c r="S29" i="38"/>
  <c r="T29" i="38"/>
  <c r="AP29" i="38" s="1"/>
  <c r="AO29" i="38"/>
  <c r="Y29" i="38"/>
  <c r="Z29" i="38" s="1"/>
  <c r="AQ29" i="38"/>
  <c r="S34" i="38"/>
  <c r="AO34" i="38" s="1"/>
  <c r="T34" i="38"/>
  <c r="AP34" i="38" s="1"/>
  <c r="Y34" i="38"/>
  <c r="Z34" i="38" s="1"/>
  <c r="AQ34" i="38"/>
  <c r="AJ34" i="38"/>
  <c r="S36" i="38"/>
  <c r="T36" i="38" s="1"/>
  <c r="Y36" i="38"/>
  <c r="AQ36" i="38" s="1"/>
  <c r="AJ36" i="38"/>
  <c r="S35" i="38"/>
  <c r="Y35" i="38"/>
  <c r="AQ35" i="38" s="1"/>
  <c r="AJ35" i="38"/>
  <c r="S41" i="38"/>
  <c r="T41" i="38" s="1"/>
  <c r="Y41" i="38"/>
  <c r="Z41" i="38"/>
  <c r="AL41" i="38"/>
  <c r="S42" i="38"/>
  <c r="T42" i="38" s="1"/>
  <c r="Y42" i="38"/>
  <c r="Z42" i="38"/>
  <c r="AC42" i="38" s="1"/>
  <c r="AL42" i="38"/>
  <c r="S43" i="38"/>
  <c r="AO43" i="38"/>
  <c r="Y43" i="38"/>
  <c r="Z43" i="38"/>
  <c r="AL43" i="38"/>
  <c r="S23" i="38"/>
  <c r="T23" i="38"/>
  <c r="U23" i="38"/>
  <c r="V23" i="38"/>
  <c r="W23" i="38"/>
  <c r="X23" i="38"/>
  <c r="Y23" i="38"/>
  <c r="Z23" i="38"/>
  <c r="AA23" i="38"/>
  <c r="AB23" i="38"/>
  <c r="AC23" i="38"/>
  <c r="AD23" i="38"/>
  <c r="AM23" i="38"/>
  <c r="AN23" i="38"/>
  <c r="AO23" i="38"/>
  <c r="AP23" i="38"/>
  <c r="AQ23" i="38"/>
  <c r="AR23" i="38"/>
  <c r="S30" i="38"/>
  <c r="T30" i="38"/>
  <c r="U30" i="38"/>
  <c r="V30" i="38"/>
  <c r="W30" i="38"/>
  <c r="X30" i="38"/>
  <c r="Y30" i="38"/>
  <c r="Z30" i="38"/>
  <c r="AA30" i="38"/>
  <c r="AB30" i="38"/>
  <c r="AC30" i="38"/>
  <c r="AD30" i="38"/>
  <c r="AJ30" i="38"/>
  <c r="AM30" i="38"/>
  <c r="AN30" i="38"/>
  <c r="AO30" i="38"/>
  <c r="AP30" i="38"/>
  <c r="AQ30" i="38"/>
  <c r="AR30" i="38"/>
  <c r="S37" i="38"/>
  <c r="T37" i="38"/>
  <c r="U37" i="38"/>
  <c r="V37" i="38"/>
  <c r="W37" i="38"/>
  <c r="X37" i="38"/>
  <c r="Y37" i="38"/>
  <c r="Z37" i="38"/>
  <c r="AA37" i="38"/>
  <c r="AB37" i="38"/>
  <c r="AC37" i="38"/>
  <c r="AD37" i="38"/>
  <c r="AL37" i="38"/>
  <c r="AM37" i="38"/>
  <c r="AN37" i="38"/>
  <c r="AO37" i="38"/>
  <c r="AP37" i="38"/>
  <c r="AQ37" i="38"/>
  <c r="AR37" i="38"/>
  <c r="X42" i="38"/>
  <c r="X14" i="38"/>
  <c r="W22" i="38"/>
  <c r="AQ43" i="38"/>
  <c r="AQ42" i="38"/>
  <c r="AQ41" i="38"/>
  <c r="W14" i="38"/>
  <c r="B2" i="13"/>
  <c r="P43" i="13"/>
  <c r="S43" i="13" s="1"/>
  <c r="AP43" i="13" s="1"/>
  <c r="AI43" i="13"/>
  <c r="AO43" i="13"/>
  <c r="P16" i="12"/>
  <c r="B2" i="12"/>
  <c r="S16" i="12" s="1"/>
  <c r="P17" i="12"/>
  <c r="AL43" i="13"/>
  <c r="Q43" i="13"/>
  <c r="Q16" i="12"/>
  <c r="T16" i="12" s="1"/>
  <c r="AT16" i="12" s="1"/>
  <c r="Q17" i="12"/>
  <c r="AG44" i="13"/>
  <c r="P44" i="13"/>
  <c r="S44" i="13"/>
  <c r="AH44" i="13"/>
  <c r="AK44" i="13"/>
  <c r="Q44" i="13"/>
  <c r="AQ44" i="13" s="1"/>
  <c r="T44" i="13"/>
  <c r="AG45" i="13"/>
  <c r="P45" i="13"/>
  <c r="S45" i="13" s="1"/>
  <c r="AP45" i="13" s="1"/>
  <c r="AH45" i="13"/>
  <c r="AK45" i="13"/>
  <c r="Q45" i="13"/>
  <c r="P46" i="13"/>
  <c r="S46" i="13" s="1"/>
  <c r="AP46" i="13" s="1"/>
  <c r="AI46" i="13"/>
  <c r="AL46" i="13"/>
  <c r="Q46" i="13"/>
  <c r="T46" i="13" s="1"/>
  <c r="AR46" i="13" s="1"/>
  <c r="P47" i="13"/>
  <c r="S47" i="13" s="1"/>
  <c r="AI47" i="13"/>
  <c r="AK47" i="13"/>
  <c r="Q47" i="13"/>
  <c r="T47" i="13"/>
  <c r="P48" i="13"/>
  <c r="S48" i="13" s="1"/>
  <c r="AI48" i="13"/>
  <c r="AL48" i="13"/>
  <c r="Q48" i="13"/>
  <c r="P49" i="13"/>
  <c r="S49" i="13" s="1"/>
  <c r="AP49" i="13"/>
  <c r="AH49" i="13"/>
  <c r="AK49" i="13"/>
  <c r="Q49" i="13"/>
  <c r="AQ49" i="13" s="1"/>
  <c r="T49" i="13"/>
  <c r="AR49" i="13" s="1"/>
  <c r="AG50" i="13"/>
  <c r="P50" i="13"/>
  <c r="S50" i="13"/>
  <c r="AP50" i="13" s="1"/>
  <c r="AI50" i="13"/>
  <c r="AL50" i="13"/>
  <c r="Q50" i="13"/>
  <c r="T50" i="13" s="1"/>
  <c r="AR50" i="13" s="1"/>
  <c r="AG51" i="13"/>
  <c r="P51" i="13"/>
  <c r="S51" i="13"/>
  <c r="AH51" i="13"/>
  <c r="AK51" i="13"/>
  <c r="Q51" i="13"/>
  <c r="T51" i="13" s="1"/>
  <c r="AQ51" i="13"/>
  <c r="AG67" i="13"/>
  <c r="P67" i="13"/>
  <c r="S67" i="13"/>
  <c r="AH67" i="13"/>
  <c r="P23" i="12"/>
  <c r="P24" i="12"/>
  <c r="AL67" i="13"/>
  <c r="Q67" i="13"/>
  <c r="Q23" i="12"/>
  <c r="T23" i="12" s="1"/>
  <c r="Q24" i="12"/>
  <c r="AG68" i="13"/>
  <c r="P68" i="13"/>
  <c r="AH68" i="13"/>
  <c r="AK68" i="13"/>
  <c r="Q68" i="13"/>
  <c r="AQ68" i="13" s="1"/>
  <c r="AG69" i="13"/>
  <c r="P69" i="13"/>
  <c r="S69" i="13"/>
  <c r="AP69" i="13" s="1"/>
  <c r="AH69" i="13"/>
  <c r="AL69" i="13"/>
  <c r="Q69" i="13"/>
  <c r="AQ69" i="13" s="1"/>
  <c r="T69" i="13"/>
  <c r="AR69" i="13" s="1"/>
  <c r="AG70" i="13"/>
  <c r="P70" i="13"/>
  <c r="S70" i="13"/>
  <c r="AH70" i="13"/>
  <c r="AK70" i="13"/>
  <c r="Q70" i="13"/>
  <c r="AQ70" i="13" s="1"/>
  <c r="T70" i="13"/>
  <c r="AR70" i="13"/>
  <c r="P71" i="13"/>
  <c r="S71" i="13" s="1"/>
  <c r="AI71" i="13"/>
  <c r="AL71" i="13"/>
  <c r="Q71" i="13"/>
  <c r="T71" i="13" s="1"/>
  <c r="AG72" i="13"/>
  <c r="P72" i="13"/>
  <c r="S72" i="13"/>
  <c r="AH72" i="13"/>
  <c r="AK72" i="13"/>
  <c r="Q72" i="13"/>
  <c r="AQ72" i="13" s="1"/>
  <c r="T72" i="13"/>
  <c r="AG73" i="13"/>
  <c r="P73" i="13"/>
  <c r="S73" i="13"/>
  <c r="AP73" i="13" s="1"/>
  <c r="AI73" i="13"/>
  <c r="AL73" i="13"/>
  <c r="Q73" i="13"/>
  <c r="T73" i="13" s="1"/>
  <c r="AR73" i="13" s="1"/>
  <c r="AQ73" i="13"/>
  <c r="P74" i="13"/>
  <c r="S74" i="13" s="1"/>
  <c r="AP74" i="13"/>
  <c r="AH74" i="13"/>
  <c r="AK74" i="13"/>
  <c r="Q74" i="13"/>
  <c r="T74" i="13"/>
  <c r="AR74" i="13" s="1"/>
  <c r="P75" i="13"/>
  <c r="S75" i="13" s="1"/>
  <c r="AI75" i="13"/>
  <c r="AL75" i="13"/>
  <c r="Q75" i="13"/>
  <c r="AQ75" i="13" s="1"/>
  <c r="P91" i="13"/>
  <c r="S91" i="13" s="1"/>
  <c r="AI91" i="13"/>
  <c r="P30" i="12"/>
  <c r="S30" i="12" s="1"/>
  <c r="V89" i="13" s="1"/>
  <c r="P31" i="12"/>
  <c r="S31" i="12" s="1"/>
  <c r="V90" i="13" s="1"/>
  <c r="AK91" i="13"/>
  <c r="Q91" i="13"/>
  <c r="AQ91" i="13" s="1"/>
  <c r="T91" i="13"/>
  <c r="Q30" i="12"/>
  <c r="T30" i="12"/>
  <c r="AB89" i="13" s="1"/>
  <c r="Q31" i="12"/>
  <c r="T31" i="12"/>
  <c r="AB90" i="13" s="1"/>
  <c r="P92" i="13"/>
  <c r="S92" i="13" s="1"/>
  <c r="AI92" i="13"/>
  <c r="AL92" i="13"/>
  <c r="Q92" i="13"/>
  <c r="AQ92" i="13" s="1"/>
  <c r="P93" i="13"/>
  <c r="S93" i="13" s="1"/>
  <c r="AP93" i="13" s="1"/>
  <c r="AI93" i="13"/>
  <c r="AK93" i="13"/>
  <c r="Q93" i="13"/>
  <c r="T93" i="13" s="1"/>
  <c r="AR93" i="13" s="1"/>
  <c r="AQ93" i="13"/>
  <c r="P94" i="13"/>
  <c r="S94" i="13" s="1"/>
  <c r="AP94" i="13"/>
  <c r="AH94" i="13"/>
  <c r="AK94" i="13"/>
  <c r="Q94" i="13"/>
  <c r="AQ94" i="13" s="1"/>
  <c r="T94" i="13"/>
  <c r="AR94" i="13" s="1"/>
  <c r="AG95" i="13"/>
  <c r="P95" i="13"/>
  <c r="S95" i="13"/>
  <c r="AH95" i="13"/>
  <c r="AK95" i="13"/>
  <c r="Q95" i="13"/>
  <c r="T95" i="13"/>
  <c r="P96" i="13"/>
  <c r="AI96" i="13"/>
  <c r="AL96" i="13"/>
  <c r="Q96" i="13"/>
  <c r="T96" i="13" s="1"/>
  <c r="AR96" i="13" s="1"/>
  <c r="AQ96" i="13"/>
  <c r="P97" i="13"/>
  <c r="S97" i="13" s="1"/>
  <c r="AI97" i="13"/>
  <c r="AL97" i="13"/>
  <c r="Q97" i="13"/>
  <c r="T97" i="13" s="1"/>
  <c r="AG98" i="13"/>
  <c r="P98" i="13"/>
  <c r="S98" i="13"/>
  <c r="AH98" i="13"/>
  <c r="AK98" i="13"/>
  <c r="Q98" i="13"/>
  <c r="T98" i="13"/>
  <c r="AG99" i="13"/>
  <c r="P99" i="13"/>
  <c r="S99" i="13"/>
  <c r="AP99" i="13" s="1"/>
  <c r="AH99" i="13"/>
  <c r="AK99" i="13"/>
  <c r="Q99" i="13"/>
  <c r="T99" i="13"/>
  <c r="AR99" i="13" s="1"/>
  <c r="AQ99" i="13"/>
  <c r="P79" i="13"/>
  <c r="S79" i="13" s="1"/>
  <c r="AP79" i="13" s="1"/>
  <c r="AI79" i="13"/>
  <c r="P28" i="12"/>
  <c r="S28" i="12" s="1"/>
  <c r="V77" i="13" s="1"/>
  <c r="P29" i="12"/>
  <c r="S29" i="12"/>
  <c r="V78" i="13" s="1"/>
  <c r="AK79" i="13"/>
  <c r="Q79" i="13"/>
  <c r="T79" i="13"/>
  <c r="AR79" i="13" s="1"/>
  <c r="Q28" i="12"/>
  <c r="T28" i="12" s="1"/>
  <c r="AB77" i="13" s="1"/>
  <c r="Q29" i="12"/>
  <c r="T29" i="12" s="1"/>
  <c r="AB78" i="13" s="1"/>
  <c r="AG80" i="13"/>
  <c r="P80" i="13"/>
  <c r="AO80" i="13"/>
  <c r="AH80" i="13"/>
  <c r="AK80" i="13"/>
  <c r="Q80" i="13"/>
  <c r="T80" i="13"/>
  <c r="AR80" i="13" s="1"/>
  <c r="P81" i="13"/>
  <c r="S81" i="13" s="1"/>
  <c r="AI81" i="13"/>
  <c r="AL81" i="13"/>
  <c r="Q81" i="13"/>
  <c r="AQ81" i="13" s="1"/>
  <c r="P82" i="13"/>
  <c r="S82" i="13" s="1"/>
  <c r="AI82" i="13"/>
  <c r="AL82" i="13"/>
  <c r="Q82" i="13"/>
  <c r="P83" i="13"/>
  <c r="S83" i="13" s="1"/>
  <c r="AP83" i="13" s="1"/>
  <c r="AI83" i="13"/>
  <c r="AO83" i="13"/>
  <c r="AK83" i="13"/>
  <c r="Q83" i="13"/>
  <c r="T83" i="13"/>
  <c r="AR83" i="13" s="1"/>
  <c r="AG84" i="13"/>
  <c r="P84" i="13"/>
  <c r="S84" i="13"/>
  <c r="AP84" i="13" s="1"/>
  <c r="AI84" i="13"/>
  <c r="AL84" i="13"/>
  <c r="Q84" i="13"/>
  <c r="AQ84" i="13" s="1"/>
  <c r="AG85" i="13"/>
  <c r="P85" i="13"/>
  <c r="S85" i="13"/>
  <c r="AH85" i="13"/>
  <c r="AK85" i="13"/>
  <c r="Q85" i="13"/>
  <c r="AQ85" i="13" s="1"/>
  <c r="T85" i="13"/>
  <c r="AG86" i="13"/>
  <c r="P86" i="13"/>
  <c r="S86" i="13"/>
  <c r="AH86" i="13"/>
  <c r="AK86" i="13"/>
  <c r="Q86" i="13"/>
  <c r="T86" i="13"/>
  <c r="P87" i="13"/>
  <c r="S87" i="13" s="1"/>
  <c r="AI87" i="13"/>
  <c r="AL87" i="13"/>
  <c r="Q87" i="13"/>
  <c r="T87" i="13" s="1"/>
  <c r="AR87" i="13"/>
  <c r="P55" i="13"/>
  <c r="S55" i="13" s="1"/>
  <c r="AP55" i="13"/>
  <c r="AH55" i="13"/>
  <c r="P21" i="12"/>
  <c r="S21" i="12" s="1"/>
  <c r="P22" i="12"/>
  <c r="S22" i="12"/>
  <c r="V54" i="13" s="1"/>
  <c r="AL55" i="13"/>
  <c r="Q55" i="13"/>
  <c r="Q21" i="12"/>
  <c r="T21" i="12" s="1"/>
  <c r="AB53" i="13" s="1"/>
  <c r="Q22" i="12"/>
  <c r="T22" i="12"/>
  <c r="AB54" i="13" s="1"/>
  <c r="AG56" i="13"/>
  <c r="P56" i="13"/>
  <c r="S56" i="13"/>
  <c r="AP56" i="13" s="1"/>
  <c r="AI56" i="13"/>
  <c r="AL56" i="13"/>
  <c r="Q56" i="13"/>
  <c r="T56" i="13" s="1"/>
  <c r="AR56" i="13" s="1"/>
  <c r="AQ56" i="13"/>
  <c r="P57" i="13"/>
  <c r="S57" i="13" s="1"/>
  <c r="AI57" i="13"/>
  <c r="AL57" i="13"/>
  <c r="Q57" i="13"/>
  <c r="T57" i="13" s="1"/>
  <c r="P58" i="13"/>
  <c r="S58" i="13" s="1"/>
  <c r="AI58" i="13"/>
  <c r="AL58" i="13"/>
  <c r="Q58" i="13"/>
  <c r="AQ58" i="13" s="1"/>
  <c r="T58" i="13"/>
  <c r="P59" i="13"/>
  <c r="S59" i="13" s="1"/>
  <c r="AP59" i="13"/>
  <c r="AH59" i="13"/>
  <c r="AO59" i="13"/>
  <c r="AL59" i="13"/>
  <c r="Q59" i="13"/>
  <c r="T59" i="13" s="1"/>
  <c r="AR59" i="13" s="1"/>
  <c r="AG60" i="13"/>
  <c r="P60" i="13"/>
  <c r="S60" i="13" s="1"/>
  <c r="AP60" i="13" s="1"/>
  <c r="AI60" i="13"/>
  <c r="AH60" i="13"/>
  <c r="AL60" i="13"/>
  <c r="AK60" i="13"/>
  <c r="Q60" i="13"/>
  <c r="T60" i="13" s="1"/>
  <c r="AR60" i="13" s="1"/>
  <c r="AQ60" i="13"/>
  <c r="AG61" i="13"/>
  <c r="P61" i="13"/>
  <c r="S61" i="13" s="1"/>
  <c r="AI61" i="13"/>
  <c r="AH61" i="13"/>
  <c r="AL61" i="13"/>
  <c r="AK61" i="13"/>
  <c r="Q61" i="13"/>
  <c r="T61" i="13" s="1"/>
  <c r="AG62" i="13"/>
  <c r="P62" i="13"/>
  <c r="S62" i="13"/>
  <c r="AI62" i="13"/>
  <c r="AH62" i="13"/>
  <c r="AL62" i="13"/>
  <c r="AK62" i="13"/>
  <c r="Q62" i="13"/>
  <c r="T62" i="13"/>
  <c r="AQ62" i="13"/>
  <c r="AG63" i="13"/>
  <c r="P63" i="13"/>
  <c r="S63" i="13"/>
  <c r="AP63" i="13" s="1"/>
  <c r="AI63" i="13"/>
  <c r="AH63" i="13"/>
  <c r="AL63" i="13"/>
  <c r="AK63" i="13"/>
  <c r="Q63" i="13"/>
  <c r="AQ63" i="13" s="1"/>
  <c r="T63" i="13"/>
  <c r="AR63" i="13" s="1"/>
  <c r="AG19" i="13"/>
  <c r="P19" i="13"/>
  <c r="S19" i="13" s="1"/>
  <c r="AP19" i="13" s="1"/>
  <c r="AI19" i="13"/>
  <c r="AH19" i="13"/>
  <c r="P9" i="12"/>
  <c r="S9" i="12" s="1"/>
  <c r="V17" i="13" s="1"/>
  <c r="P10" i="12"/>
  <c r="S10" i="12"/>
  <c r="AL19" i="13"/>
  <c r="AK19" i="13"/>
  <c r="Q19" i="13"/>
  <c r="T19" i="13"/>
  <c r="AR19" i="13" s="1"/>
  <c r="Q9" i="12"/>
  <c r="T9" i="12" s="1"/>
  <c r="AB17" i="13" s="1"/>
  <c r="Q10" i="12"/>
  <c r="T10" i="12" s="1"/>
  <c r="AB18" i="13" s="1"/>
  <c r="AQ19" i="13"/>
  <c r="AG20" i="13"/>
  <c r="P20" i="13"/>
  <c r="AO20" i="13"/>
  <c r="AI20" i="13"/>
  <c r="AH20" i="13"/>
  <c r="AL20" i="13"/>
  <c r="AK20" i="13"/>
  <c r="Q20" i="13"/>
  <c r="T20" i="13"/>
  <c r="AR20" i="13" s="1"/>
  <c r="AG21" i="13"/>
  <c r="P21" i="13"/>
  <c r="S21" i="13" s="1"/>
  <c r="AP21" i="13" s="1"/>
  <c r="AI21" i="13"/>
  <c r="AH21" i="13"/>
  <c r="AL21" i="13"/>
  <c r="AK21" i="13"/>
  <c r="Q21" i="13"/>
  <c r="T21" i="13" s="1"/>
  <c r="AG22" i="13"/>
  <c r="P22" i="13"/>
  <c r="S22" i="13" s="1"/>
  <c r="AI22" i="13"/>
  <c r="AH22" i="13"/>
  <c r="AL22" i="13"/>
  <c r="AK22" i="13"/>
  <c r="Q22" i="13"/>
  <c r="T22" i="13" s="1"/>
  <c r="AQ22" i="13"/>
  <c r="AG23" i="13"/>
  <c r="P23" i="13"/>
  <c r="S23" i="13" s="1"/>
  <c r="AP23" i="13" s="1"/>
  <c r="AI23" i="13"/>
  <c r="AH23" i="13"/>
  <c r="AO23" i="13"/>
  <c r="AL23" i="13"/>
  <c r="AK23" i="13"/>
  <c r="Q23" i="13"/>
  <c r="AQ23" i="13" s="1"/>
  <c r="T23" i="13"/>
  <c r="AR23" i="13" s="1"/>
  <c r="AG24" i="13"/>
  <c r="P24" i="13"/>
  <c r="S24" i="13"/>
  <c r="AP24" i="13" s="1"/>
  <c r="AI24" i="13"/>
  <c r="AH24" i="13"/>
  <c r="AL24" i="13"/>
  <c r="AK24" i="13"/>
  <c r="Q24" i="13"/>
  <c r="T24" i="13" s="1"/>
  <c r="AR24" i="13" s="1"/>
  <c r="AG25" i="13"/>
  <c r="P25" i="13"/>
  <c r="S25" i="13"/>
  <c r="AI25" i="13"/>
  <c r="AH25" i="13"/>
  <c r="AL25" i="13"/>
  <c r="AK25" i="13"/>
  <c r="Q25" i="13"/>
  <c r="T25" i="13"/>
  <c r="AG26" i="13"/>
  <c r="P26" i="13"/>
  <c r="S26" i="13" s="1"/>
  <c r="AI26" i="13"/>
  <c r="AH26" i="13"/>
  <c r="AL26" i="13"/>
  <c r="AK26" i="13"/>
  <c r="Q26" i="13"/>
  <c r="AQ26" i="13" s="1"/>
  <c r="AG27" i="13"/>
  <c r="P27" i="13"/>
  <c r="S27" i="13" s="1"/>
  <c r="AP27" i="13" s="1"/>
  <c r="AI27" i="13"/>
  <c r="AH27" i="13"/>
  <c r="AL27" i="13"/>
  <c r="AK27" i="13"/>
  <c r="Q27" i="13"/>
  <c r="T27" i="13" s="1"/>
  <c r="AR27" i="13" s="1"/>
  <c r="AG7" i="13"/>
  <c r="P7" i="13"/>
  <c r="S7" i="13" s="1"/>
  <c r="AP7" i="13" s="1"/>
  <c r="AI7" i="13"/>
  <c r="AH7" i="13"/>
  <c r="P7" i="12"/>
  <c r="S7" i="12"/>
  <c r="P8" i="12"/>
  <c r="S8" i="12"/>
  <c r="V6" i="13" s="1"/>
  <c r="AL7" i="13"/>
  <c r="AK7" i="13"/>
  <c r="Q7" i="13"/>
  <c r="T7" i="13" s="1"/>
  <c r="AR7" i="13" s="1"/>
  <c r="Q7" i="12"/>
  <c r="T7" i="12" s="1"/>
  <c r="AB5" i="13" s="1"/>
  <c r="Q8" i="12"/>
  <c r="T8" i="12"/>
  <c r="AB6" i="13" s="1"/>
  <c r="AG8" i="13"/>
  <c r="P8" i="13"/>
  <c r="S8" i="13" s="1"/>
  <c r="AP8" i="13" s="1"/>
  <c r="AI8" i="13"/>
  <c r="AH8" i="13"/>
  <c r="AL8" i="13"/>
  <c r="AK8" i="13"/>
  <c r="Q8" i="13"/>
  <c r="T8" i="13" s="1"/>
  <c r="AR8" i="13" s="1"/>
  <c r="AG9" i="13"/>
  <c r="P9" i="13"/>
  <c r="S9" i="13" s="1"/>
  <c r="AI9" i="13"/>
  <c r="AH9" i="13"/>
  <c r="AL9" i="13"/>
  <c r="AK9" i="13"/>
  <c r="Q9" i="13"/>
  <c r="AQ9" i="13"/>
  <c r="T9" i="13"/>
  <c r="AG10" i="13"/>
  <c r="P10" i="13"/>
  <c r="S10" i="13"/>
  <c r="AI10" i="13"/>
  <c r="AH10" i="13"/>
  <c r="AL10" i="13"/>
  <c r="AK10" i="13"/>
  <c r="Q10" i="13"/>
  <c r="AG11" i="13"/>
  <c r="P11" i="13"/>
  <c r="S11" i="13"/>
  <c r="AP11" i="13" s="1"/>
  <c r="AI11" i="13"/>
  <c r="AH11" i="13"/>
  <c r="AO11" i="13"/>
  <c r="AL11" i="13"/>
  <c r="AK11" i="13"/>
  <c r="Q11" i="13"/>
  <c r="AQ11" i="13" s="1"/>
  <c r="AG12" i="13"/>
  <c r="P12" i="13"/>
  <c r="AI12" i="13"/>
  <c r="AH12" i="13"/>
  <c r="AL12" i="13"/>
  <c r="AK12" i="13"/>
  <c r="Q12" i="13"/>
  <c r="AQ12" i="13" s="1"/>
  <c r="T12" i="13"/>
  <c r="AR12" i="13" s="1"/>
  <c r="AG13" i="13"/>
  <c r="P13" i="13"/>
  <c r="S13" i="13" s="1"/>
  <c r="AI13" i="13"/>
  <c r="AH13" i="13"/>
  <c r="AL13" i="13"/>
  <c r="AK13" i="13"/>
  <c r="Q13" i="13"/>
  <c r="T13" i="13" s="1"/>
  <c r="AG14" i="13"/>
  <c r="P14" i="13"/>
  <c r="S14" i="13"/>
  <c r="AI14" i="13"/>
  <c r="AH14" i="13"/>
  <c r="AL14" i="13"/>
  <c r="AK14" i="13"/>
  <c r="Q14" i="13"/>
  <c r="AQ14" i="13" s="1"/>
  <c r="T14" i="13"/>
  <c r="AG15" i="13"/>
  <c r="P15" i="13"/>
  <c r="S15" i="13" s="1"/>
  <c r="AP15" i="13" s="1"/>
  <c r="AI15" i="13"/>
  <c r="AH15" i="13"/>
  <c r="AL15" i="13"/>
  <c r="AK15" i="13"/>
  <c r="Q15" i="13"/>
  <c r="AQ15" i="13" s="1"/>
  <c r="Q39" i="13"/>
  <c r="T39" i="13"/>
  <c r="Q38" i="13"/>
  <c r="T38" i="13"/>
  <c r="AR38" i="13" s="1"/>
  <c r="Q37" i="13"/>
  <c r="T37" i="13"/>
  <c r="Q36" i="13"/>
  <c r="T36" i="13"/>
  <c r="AR36" i="13" s="1"/>
  <c r="Q35" i="13"/>
  <c r="AQ35" i="13" s="1"/>
  <c r="Q34" i="13"/>
  <c r="Q33" i="13"/>
  <c r="T33" i="13" s="1"/>
  <c r="Q32" i="13"/>
  <c r="T32" i="13" s="1"/>
  <c r="AR32" i="13" s="1"/>
  <c r="Q31" i="13"/>
  <c r="T31" i="13"/>
  <c r="AR3" i="13"/>
  <c r="AQ39" i="13"/>
  <c r="AQ38" i="13"/>
  <c r="AQ37" i="13"/>
  <c r="AQ31" i="13"/>
  <c r="AQ3" i="13"/>
  <c r="P39" i="13"/>
  <c r="AO39" i="13" s="1"/>
  <c r="P38" i="13"/>
  <c r="S38" i="13" s="1"/>
  <c r="AP38" i="13" s="1"/>
  <c r="P37" i="13"/>
  <c r="S37" i="13" s="1"/>
  <c r="P36" i="13"/>
  <c r="P35" i="13"/>
  <c r="S35" i="13" s="1"/>
  <c r="P34" i="13"/>
  <c r="S34" i="13" s="1"/>
  <c r="AP34" i="13" s="1"/>
  <c r="P33" i="13"/>
  <c r="S33" i="13" s="1"/>
  <c r="P32" i="13"/>
  <c r="AO32" i="13" s="1"/>
  <c r="P31" i="13"/>
  <c r="AO31" i="13" s="1"/>
  <c r="AP3" i="13"/>
  <c r="AO37" i="13"/>
  <c r="AO34" i="13"/>
  <c r="AO3" i="13"/>
  <c r="AN3" i="13"/>
  <c r="AM3" i="13"/>
  <c r="AJ3" i="13"/>
  <c r="AG39" i="13"/>
  <c r="AG38" i="13"/>
  <c r="AG37" i="13"/>
  <c r="AG36" i="13"/>
  <c r="AG35" i="13"/>
  <c r="AG34" i="13"/>
  <c r="AG33" i="13"/>
  <c r="AG32" i="13"/>
  <c r="AG31" i="13"/>
  <c r="AG3" i="13"/>
  <c r="B78" i="13"/>
  <c r="B77" i="13"/>
  <c r="B65" i="13"/>
  <c r="B66" i="13"/>
  <c r="B54" i="13"/>
  <c r="B41" i="13"/>
  <c r="B30" i="13"/>
  <c r="B89" i="13"/>
  <c r="AI39" i="13"/>
  <c r="AI38" i="13"/>
  <c r="AI37" i="13"/>
  <c r="AI36" i="13"/>
  <c r="AI35" i="13"/>
  <c r="AI34" i="13"/>
  <c r="AI33" i="13"/>
  <c r="AI32" i="13"/>
  <c r="AI31" i="13"/>
  <c r="AI3" i="13"/>
  <c r="AH31" i="13"/>
  <c r="P14" i="12"/>
  <c r="S14" i="12" s="1"/>
  <c r="V29" i="13" s="1"/>
  <c r="P15" i="12"/>
  <c r="S15" i="12"/>
  <c r="AL31" i="13"/>
  <c r="AK31" i="13"/>
  <c r="Q14" i="12"/>
  <c r="T14" i="12"/>
  <c r="AB29" i="13" s="1"/>
  <c r="Q15" i="12"/>
  <c r="T15" i="12" s="1"/>
  <c r="AH32" i="13"/>
  <c r="AL32" i="13"/>
  <c r="AK32" i="13"/>
  <c r="AH33" i="13"/>
  <c r="AL33" i="13"/>
  <c r="AK33" i="13"/>
  <c r="AH34" i="13"/>
  <c r="AL34" i="13"/>
  <c r="AK34" i="13"/>
  <c r="AH35" i="13"/>
  <c r="AL35" i="13"/>
  <c r="AK35" i="13"/>
  <c r="AH36" i="13"/>
  <c r="AL36" i="13"/>
  <c r="AK36" i="13"/>
  <c r="AH37" i="13"/>
  <c r="AL37" i="13"/>
  <c r="AK37" i="13"/>
  <c r="AH38" i="13"/>
  <c r="AL38" i="13"/>
  <c r="AK38" i="13"/>
  <c r="AH39" i="13"/>
  <c r="AL39" i="13"/>
  <c r="AK39" i="13"/>
  <c r="E3" i="13"/>
  <c r="F3" i="13"/>
  <c r="G3" i="13"/>
  <c r="H3" i="13"/>
  <c r="I3" i="13"/>
  <c r="J3" i="13"/>
  <c r="K3" i="13"/>
  <c r="L3" i="13"/>
  <c r="M3" i="13"/>
  <c r="N3" i="13"/>
  <c r="P3" i="13"/>
  <c r="Q3" i="13"/>
  <c r="S3" i="13"/>
  <c r="T3" i="13"/>
  <c r="V3" i="13"/>
  <c r="W3" i="13"/>
  <c r="Y3" i="13"/>
  <c r="Z3" i="13"/>
  <c r="AB3" i="13"/>
  <c r="AC3" i="13"/>
  <c r="AE3" i="13"/>
  <c r="AF3" i="13"/>
  <c r="AH3" i="13"/>
  <c r="AK3" i="13"/>
  <c r="AL3" i="13"/>
  <c r="A5" i="13"/>
  <c r="B5" i="13"/>
  <c r="A6" i="13"/>
  <c r="B6" i="13"/>
  <c r="A17" i="13"/>
  <c r="B17" i="13"/>
  <c r="A18" i="13"/>
  <c r="B18" i="13"/>
  <c r="A29" i="13"/>
  <c r="B29" i="13"/>
  <c r="A30" i="13"/>
  <c r="A41" i="13"/>
  <c r="A42" i="13"/>
  <c r="B42" i="13"/>
  <c r="A53" i="13"/>
  <c r="B53" i="13"/>
  <c r="A54" i="13"/>
  <c r="A65" i="13"/>
  <c r="A66" i="13"/>
  <c r="A77" i="13"/>
  <c r="A78" i="13"/>
  <c r="A89" i="13"/>
  <c r="A90" i="13"/>
  <c r="B90" i="13"/>
  <c r="AP70" i="13"/>
  <c r="AO14" i="13"/>
  <c r="AO10" i="13"/>
  <c r="AO26" i="13"/>
  <c r="AO24" i="13"/>
  <c r="AO22" i="13"/>
  <c r="AO62" i="13"/>
  <c r="AO60" i="13"/>
  <c r="AO58" i="13"/>
  <c r="AO86" i="13"/>
  <c r="AO84" i="13"/>
  <c r="AO82" i="13"/>
  <c r="AO98" i="13"/>
  <c r="AO94" i="13"/>
  <c r="AO92" i="13"/>
  <c r="AO74" i="13"/>
  <c r="AO72" i="13"/>
  <c r="AO70" i="13"/>
  <c r="AO50" i="13"/>
  <c r="AO48" i="13"/>
  <c r="AO46" i="13"/>
  <c r="AO44" i="13"/>
  <c r="B2" i="29"/>
  <c r="Q73" i="29"/>
  <c r="Q68" i="29"/>
  <c r="Q67" i="29"/>
  <c r="Q63" i="29"/>
  <c r="AQ63" i="29" s="1"/>
  <c r="T63" i="29"/>
  <c r="AR63" i="29" s="1"/>
  <c r="Q50" i="29"/>
  <c r="Q49" i="29"/>
  <c r="Q47" i="29"/>
  <c r="Q46" i="29"/>
  <c r="A5" i="29"/>
  <c r="A6" i="29"/>
  <c r="P8" i="29"/>
  <c r="P7" i="29"/>
  <c r="Q99" i="29"/>
  <c r="T99" i="29" s="1"/>
  <c r="AR99" i="29" s="1"/>
  <c r="Q98" i="29"/>
  <c r="Q97" i="29"/>
  <c r="AQ97" i="29" s="1"/>
  <c r="Q96" i="29"/>
  <c r="Q95" i="29"/>
  <c r="T95" i="29"/>
  <c r="AR95" i="29" s="1"/>
  <c r="Q94" i="29"/>
  <c r="T94" i="29" s="1"/>
  <c r="AR94" i="29" s="1"/>
  <c r="Q93" i="29"/>
  <c r="Q92" i="29"/>
  <c r="T92" i="29"/>
  <c r="AR92" i="29" s="1"/>
  <c r="Q91" i="29"/>
  <c r="T91" i="29" s="1"/>
  <c r="AR91" i="29" s="1"/>
  <c r="Q87" i="29"/>
  <c r="Q86" i="29"/>
  <c r="AQ86" i="29" s="1"/>
  <c r="Q85" i="29"/>
  <c r="Q84" i="29"/>
  <c r="T84" i="29"/>
  <c r="AR84" i="29" s="1"/>
  <c r="Q83" i="29"/>
  <c r="T83" i="29" s="1"/>
  <c r="AR83" i="29" s="1"/>
  <c r="Q82" i="29"/>
  <c r="Q81" i="29"/>
  <c r="T81" i="29"/>
  <c r="AR81" i="29" s="1"/>
  <c r="Q80" i="29"/>
  <c r="T80" i="29" s="1"/>
  <c r="AR80" i="29" s="1"/>
  <c r="Q79" i="29"/>
  <c r="Q75" i="29"/>
  <c r="AQ75" i="29" s="1"/>
  <c r="Q74" i="29"/>
  <c r="Q72" i="29"/>
  <c r="Q71" i="29"/>
  <c r="Q70" i="29"/>
  <c r="Q69" i="29"/>
  <c r="Q62" i="29"/>
  <c r="T62" i="29" s="1"/>
  <c r="AR62" i="29" s="1"/>
  <c r="Q61" i="29"/>
  <c r="Q60" i="29"/>
  <c r="Q59" i="29"/>
  <c r="T59" i="29" s="1"/>
  <c r="AR59" i="29" s="1"/>
  <c r="Q58" i="29"/>
  <c r="T58" i="29" s="1"/>
  <c r="AR58" i="29" s="1"/>
  <c r="Q57" i="29"/>
  <c r="T57" i="29" s="1"/>
  <c r="AR57" i="29" s="1"/>
  <c r="Q56" i="29"/>
  <c r="AQ56" i="29" s="1"/>
  <c r="Q55" i="29"/>
  <c r="T55" i="29" s="1"/>
  <c r="AR55" i="29" s="1"/>
  <c r="Q51" i="29"/>
  <c r="T51" i="29"/>
  <c r="AR51" i="29" s="1"/>
  <c r="Q48" i="29"/>
  <c r="Q45" i="29"/>
  <c r="Q44" i="29"/>
  <c r="Q43" i="29"/>
  <c r="AQ43" i="29" s="1"/>
  <c r="Q39" i="29"/>
  <c r="Q38" i="29"/>
  <c r="T38" i="29"/>
  <c r="Q37" i="29"/>
  <c r="Q36" i="29"/>
  <c r="Q35" i="29"/>
  <c r="Q34" i="29"/>
  <c r="Q33" i="29"/>
  <c r="Q32" i="29"/>
  <c r="T32" i="29" s="1"/>
  <c r="Q31" i="29"/>
  <c r="Q27" i="29"/>
  <c r="T27" i="29" s="1"/>
  <c r="Q26" i="29"/>
  <c r="Q25" i="29"/>
  <c r="T25" i="29"/>
  <c r="AR25" i="29" s="1"/>
  <c r="Q24" i="29"/>
  <c r="Q23" i="29"/>
  <c r="Q22" i="29"/>
  <c r="Q21" i="29"/>
  <c r="Q20" i="29"/>
  <c r="Q19" i="29"/>
  <c r="Q15" i="29"/>
  <c r="T15" i="29" s="1"/>
  <c r="Q14" i="29"/>
  <c r="Q13" i="29"/>
  <c r="Q12" i="29"/>
  <c r="Q11" i="29"/>
  <c r="T11" i="29" s="1"/>
  <c r="Q10" i="29"/>
  <c r="T10" i="29" s="1"/>
  <c r="Q9" i="29"/>
  <c r="Q8" i="29"/>
  <c r="Q7" i="29"/>
  <c r="T7" i="29" s="1"/>
  <c r="AR3" i="29"/>
  <c r="AQ94" i="29"/>
  <c r="AQ92" i="29"/>
  <c r="AQ83" i="29"/>
  <c r="AQ81" i="29"/>
  <c r="AQ68" i="29"/>
  <c r="AQ59" i="29"/>
  <c r="AQ57" i="29"/>
  <c r="AQ47" i="29"/>
  <c r="AQ45" i="29"/>
  <c r="AQ23" i="29"/>
  <c r="AQ12" i="29"/>
  <c r="AQ10" i="29"/>
  <c r="P99" i="29"/>
  <c r="P98" i="29"/>
  <c r="P97" i="29"/>
  <c r="P96" i="29"/>
  <c r="P95" i="29"/>
  <c r="P94" i="29"/>
  <c r="P93" i="29"/>
  <c r="P92" i="29"/>
  <c r="P91" i="29"/>
  <c r="P87" i="29"/>
  <c r="S87" i="29"/>
  <c r="AP87" i="29" s="1"/>
  <c r="P86" i="29"/>
  <c r="P85" i="29"/>
  <c r="P84" i="29"/>
  <c r="S84" i="29"/>
  <c r="P83" i="29"/>
  <c r="S83" i="29" s="1"/>
  <c r="AP83" i="29" s="1"/>
  <c r="P82" i="29"/>
  <c r="P81" i="29"/>
  <c r="P80" i="29"/>
  <c r="P79" i="29"/>
  <c r="P75" i="29"/>
  <c r="P74" i="29"/>
  <c r="P73" i="29"/>
  <c r="S73" i="29" s="1"/>
  <c r="P72" i="29"/>
  <c r="S72" i="29" s="1"/>
  <c r="AP72" i="29" s="1"/>
  <c r="P71" i="29"/>
  <c r="P70" i="29"/>
  <c r="P69" i="29"/>
  <c r="P68" i="29"/>
  <c r="S68" i="29" s="1"/>
  <c r="AP68" i="29" s="1"/>
  <c r="P67" i="29"/>
  <c r="P63" i="29"/>
  <c r="P62" i="29"/>
  <c r="P61" i="29"/>
  <c r="S61" i="29" s="1"/>
  <c r="AP61" i="29" s="1"/>
  <c r="P60" i="29"/>
  <c r="P59" i="29"/>
  <c r="P58" i="29"/>
  <c r="S58" i="29" s="1"/>
  <c r="P57" i="29"/>
  <c r="S57" i="29" s="1"/>
  <c r="AP57" i="29" s="1"/>
  <c r="P56" i="29"/>
  <c r="P55" i="29"/>
  <c r="S55" i="29" s="1"/>
  <c r="P51" i="29"/>
  <c r="P50" i="29"/>
  <c r="P49" i="29"/>
  <c r="P48" i="29"/>
  <c r="P47" i="29"/>
  <c r="S47" i="29" s="1"/>
  <c r="P46" i="29"/>
  <c r="S46" i="29"/>
  <c r="AP46" i="29" s="1"/>
  <c r="P45" i="29"/>
  <c r="P44" i="29"/>
  <c r="P43" i="29"/>
  <c r="S43" i="29"/>
  <c r="P39" i="29"/>
  <c r="P38" i="29"/>
  <c r="P37" i="29"/>
  <c r="P36" i="29"/>
  <c r="P35" i="29"/>
  <c r="P34" i="29"/>
  <c r="P33" i="29"/>
  <c r="P32" i="29"/>
  <c r="S32" i="29" s="1"/>
  <c r="P31" i="29"/>
  <c r="P27" i="29"/>
  <c r="S27" i="29" s="1"/>
  <c r="AP27" i="29" s="1"/>
  <c r="P26" i="29"/>
  <c r="S26" i="29" s="1"/>
  <c r="AP26" i="29" s="1"/>
  <c r="P25" i="29"/>
  <c r="P24" i="29"/>
  <c r="P23" i="29"/>
  <c r="P22" i="29"/>
  <c r="P21" i="29"/>
  <c r="S21" i="29" s="1"/>
  <c r="P20" i="29"/>
  <c r="S20" i="29"/>
  <c r="P19" i="29"/>
  <c r="P15" i="29"/>
  <c r="P14" i="29"/>
  <c r="P13" i="29"/>
  <c r="P12" i="29"/>
  <c r="P11" i="29"/>
  <c r="P10" i="29"/>
  <c r="S10" i="29" s="1"/>
  <c r="P9" i="29"/>
  <c r="S9" i="29" s="1"/>
  <c r="AG98" i="29"/>
  <c r="AG97" i="29"/>
  <c r="AG94" i="29"/>
  <c r="AG93" i="29"/>
  <c r="AG87" i="29"/>
  <c r="AG86" i="29"/>
  <c r="AG83" i="29"/>
  <c r="AG82" i="29"/>
  <c r="AG79" i="29"/>
  <c r="AG75" i="29"/>
  <c r="AG72" i="29"/>
  <c r="AG71" i="29"/>
  <c r="AG68" i="29"/>
  <c r="AG67" i="29"/>
  <c r="AG61" i="29"/>
  <c r="AG60" i="29"/>
  <c r="AG59" i="29"/>
  <c r="AG58" i="29"/>
  <c r="AG57" i="29"/>
  <c r="AG56" i="29"/>
  <c r="AG55" i="29"/>
  <c r="AG51" i="29"/>
  <c r="AG50" i="29"/>
  <c r="AG49" i="29"/>
  <c r="AG48" i="29"/>
  <c r="AG47" i="29"/>
  <c r="AG46" i="29"/>
  <c r="AG45" i="29"/>
  <c r="AG44" i="29"/>
  <c r="AG43" i="29"/>
  <c r="AG39" i="29"/>
  <c r="AG38" i="29"/>
  <c r="AG37" i="29"/>
  <c r="AG36" i="29"/>
  <c r="AG35" i="29"/>
  <c r="AG34" i="29"/>
  <c r="AG33" i="29"/>
  <c r="AG32" i="29"/>
  <c r="AG31" i="29"/>
  <c r="AG27" i="29"/>
  <c r="AG26" i="29"/>
  <c r="AG25" i="29"/>
  <c r="AG24" i="29"/>
  <c r="AG23" i="29"/>
  <c r="AG22" i="29"/>
  <c r="AG21" i="29"/>
  <c r="AG20" i="29"/>
  <c r="AG19" i="29"/>
  <c r="AG15" i="29"/>
  <c r="AG14" i="29"/>
  <c r="AG13" i="29"/>
  <c r="AG12" i="29"/>
  <c r="AG11" i="29"/>
  <c r="AG10" i="29"/>
  <c r="AG9" i="29"/>
  <c r="AG8" i="29"/>
  <c r="AG7" i="29"/>
  <c r="AG3" i="29"/>
  <c r="AI92" i="29"/>
  <c r="AI93" i="29"/>
  <c r="AI94" i="29"/>
  <c r="AI95" i="29"/>
  <c r="AI96" i="29"/>
  <c r="AI97" i="29"/>
  <c r="AI98" i="29"/>
  <c r="AI99" i="29"/>
  <c r="AI91" i="29"/>
  <c r="AI80" i="29"/>
  <c r="AI81" i="29"/>
  <c r="AI82" i="29"/>
  <c r="AI83" i="29"/>
  <c r="AI84" i="29"/>
  <c r="AI85" i="29"/>
  <c r="AI86" i="29"/>
  <c r="AI87" i="29"/>
  <c r="AI79" i="29"/>
  <c r="AI68" i="29"/>
  <c r="AI69" i="29"/>
  <c r="AI70" i="29"/>
  <c r="AI71" i="29"/>
  <c r="AI72" i="29"/>
  <c r="AI73" i="29"/>
  <c r="AI74" i="29"/>
  <c r="AI75" i="29"/>
  <c r="AI67" i="29"/>
  <c r="AI56" i="29"/>
  <c r="AI57" i="29"/>
  <c r="AI58" i="29"/>
  <c r="AI59" i="29"/>
  <c r="AI60" i="29"/>
  <c r="AI61" i="29"/>
  <c r="AI62" i="29"/>
  <c r="AI63" i="29"/>
  <c r="AI55" i="29"/>
  <c r="AI44" i="29"/>
  <c r="AI45" i="29"/>
  <c r="AI46" i="29"/>
  <c r="AI47" i="29"/>
  <c r="AI48" i="29"/>
  <c r="AI49" i="29"/>
  <c r="AI50" i="29"/>
  <c r="AI51" i="29"/>
  <c r="AI43" i="29"/>
  <c r="AI32" i="29"/>
  <c r="AI33" i="29"/>
  <c r="AI34" i="29"/>
  <c r="AI35" i="29"/>
  <c r="AI36" i="29"/>
  <c r="AI37" i="29"/>
  <c r="AI38" i="29"/>
  <c r="AI39" i="29"/>
  <c r="AI31" i="29"/>
  <c r="AI20" i="29"/>
  <c r="AI21" i="29"/>
  <c r="AI22" i="29"/>
  <c r="AI23" i="29"/>
  <c r="AI24" i="29"/>
  <c r="AI25" i="29"/>
  <c r="AI26" i="29"/>
  <c r="AI27" i="29"/>
  <c r="AI19" i="29"/>
  <c r="AI8" i="29"/>
  <c r="AI9" i="29"/>
  <c r="AI10" i="29"/>
  <c r="AI11" i="29"/>
  <c r="AI12" i="29"/>
  <c r="AI13" i="29"/>
  <c r="AI14" i="29"/>
  <c r="AI15" i="29"/>
  <c r="AI7" i="29"/>
  <c r="AI3" i="29"/>
  <c r="B54" i="29"/>
  <c r="B89" i="29"/>
  <c r="B66" i="29"/>
  <c r="B65" i="29"/>
  <c r="B78" i="29"/>
  <c r="B77" i="29"/>
  <c r="B41" i="29"/>
  <c r="B30" i="29"/>
  <c r="AH7" i="29"/>
  <c r="AL7" i="29"/>
  <c r="AK7" i="29"/>
  <c r="AH8" i="29"/>
  <c r="AL8" i="29"/>
  <c r="AK8" i="29"/>
  <c r="AH9" i="29"/>
  <c r="AO9" i="29"/>
  <c r="AL9" i="29"/>
  <c r="AK9" i="29"/>
  <c r="AH10" i="29"/>
  <c r="AO10" i="29"/>
  <c r="AL10" i="29"/>
  <c r="AK10" i="29"/>
  <c r="AH11" i="29"/>
  <c r="AL11" i="29"/>
  <c r="AK11" i="29"/>
  <c r="AH12" i="29"/>
  <c r="AL12" i="29"/>
  <c r="AK12" i="29"/>
  <c r="AH13" i="29"/>
  <c r="AL13" i="29"/>
  <c r="AK13" i="29"/>
  <c r="AH14" i="29"/>
  <c r="AL14" i="29"/>
  <c r="AK14" i="29"/>
  <c r="AH15" i="29"/>
  <c r="AO15" i="29"/>
  <c r="AL15" i="29"/>
  <c r="AK15" i="29"/>
  <c r="AH19" i="29"/>
  <c r="A17" i="29"/>
  <c r="A18" i="29"/>
  <c r="AL19" i="29"/>
  <c r="AK19" i="29"/>
  <c r="AH20" i="29"/>
  <c r="AO20" i="29"/>
  <c r="AL20" i="29"/>
  <c r="AK20" i="29"/>
  <c r="AH21" i="29"/>
  <c r="AO21" i="29"/>
  <c r="AL21" i="29"/>
  <c r="AK21" i="29"/>
  <c r="AH22" i="29"/>
  <c r="AL22" i="29"/>
  <c r="AK22" i="29"/>
  <c r="AH23" i="29"/>
  <c r="AL23" i="29"/>
  <c r="AK23" i="29"/>
  <c r="AH24" i="29"/>
  <c r="AL24" i="29"/>
  <c r="AK24" i="29"/>
  <c r="AH25" i="29"/>
  <c r="AL25" i="29"/>
  <c r="AK25" i="29"/>
  <c r="AH26" i="29"/>
  <c r="AO26" i="29"/>
  <c r="AL26" i="29"/>
  <c r="AK26" i="29"/>
  <c r="AH27" i="29"/>
  <c r="AO27" i="29"/>
  <c r="AL27" i="29"/>
  <c r="AK27" i="29"/>
  <c r="AH31" i="29"/>
  <c r="A29" i="29"/>
  <c r="A30" i="29"/>
  <c r="AL31" i="29"/>
  <c r="AK31" i="29"/>
  <c r="AH32" i="29"/>
  <c r="AO32" i="29"/>
  <c r="AL32" i="29"/>
  <c r="AK32" i="29"/>
  <c r="AH33" i="29"/>
  <c r="AL33" i="29"/>
  <c r="AK33" i="29"/>
  <c r="AH34" i="29"/>
  <c r="AL34" i="29"/>
  <c r="AK34" i="29"/>
  <c r="AH35" i="29"/>
  <c r="AO35" i="29"/>
  <c r="AL35" i="29"/>
  <c r="AK35" i="29"/>
  <c r="AH36" i="29"/>
  <c r="AO36" i="29"/>
  <c r="AL36" i="29"/>
  <c r="AK36" i="29"/>
  <c r="AH37" i="29"/>
  <c r="AL37" i="29"/>
  <c r="AK37" i="29"/>
  <c r="AH38" i="29"/>
  <c r="AL38" i="29"/>
  <c r="AK38" i="29"/>
  <c r="AH39" i="29"/>
  <c r="AO39" i="29"/>
  <c r="AL39" i="29"/>
  <c r="AK39" i="29"/>
  <c r="AH43" i="29"/>
  <c r="AO43" i="29"/>
  <c r="A41" i="29"/>
  <c r="A42" i="29"/>
  <c r="AL43" i="29"/>
  <c r="AK43" i="29"/>
  <c r="AH44" i="29"/>
  <c r="AL44" i="29"/>
  <c r="AK44" i="29"/>
  <c r="AH45" i="29"/>
  <c r="AL45" i="29"/>
  <c r="AK45" i="29"/>
  <c r="AH46" i="29"/>
  <c r="AO46" i="29"/>
  <c r="AL46" i="29"/>
  <c r="AK46" i="29"/>
  <c r="AH47" i="29"/>
  <c r="AO47" i="29"/>
  <c r="AL47" i="29"/>
  <c r="AK47" i="29"/>
  <c r="AH48" i="29"/>
  <c r="AL48" i="29"/>
  <c r="AK48" i="29"/>
  <c r="AH49" i="29"/>
  <c r="AL49" i="29"/>
  <c r="AK49" i="29"/>
  <c r="AH50" i="29"/>
  <c r="AO50" i="29"/>
  <c r="AL50" i="29"/>
  <c r="AK50" i="29"/>
  <c r="AH51" i="29"/>
  <c r="AO51" i="29"/>
  <c r="AL51" i="29"/>
  <c r="AK51" i="29"/>
  <c r="AH55" i="29"/>
  <c r="A53" i="29"/>
  <c r="A54" i="29"/>
  <c r="AL55" i="29"/>
  <c r="AK55" i="29"/>
  <c r="AH56" i="29"/>
  <c r="AL56" i="29"/>
  <c r="AK56" i="29"/>
  <c r="AH57" i="29"/>
  <c r="AO57" i="29"/>
  <c r="AL57" i="29"/>
  <c r="AK57" i="29"/>
  <c r="AH58" i="29"/>
  <c r="AO58" i="29"/>
  <c r="AL58" i="29"/>
  <c r="AK58" i="29"/>
  <c r="AH59" i="29"/>
  <c r="AL59" i="29"/>
  <c r="AK59" i="29"/>
  <c r="AH60" i="29"/>
  <c r="AL60" i="29"/>
  <c r="AK60" i="29"/>
  <c r="AH61" i="29"/>
  <c r="AO61" i="29"/>
  <c r="AL61" i="29"/>
  <c r="AK61" i="29"/>
  <c r="AH62" i="29"/>
  <c r="AL62" i="29"/>
  <c r="AK62" i="29"/>
  <c r="AH63" i="29"/>
  <c r="AL63" i="29"/>
  <c r="AK63" i="29"/>
  <c r="AH67" i="29"/>
  <c r="A65" i="29"/>
  <c r="A66" i="29"/>
  <c r="AL67" i="29"/>
  <c r="AK67" i="29"/>
  <c r="AH68" i="29"/>
  <c r="AO68" i="29"/>
  <c r="AL68" i="29"/>
  <c r="AK68" i="29"/>
  <c r="AH69" i="29"/>
  <c r="AL69" i="29"/>
  <c r="AK69" i="29"/>
  <c r="AH70" i="29"/>
  <c r="AL70" i="29"/>
  <c r="AK70" i="29"/>
  <c r="AH71" i="29"/>
  <c r="AL71" i="29"/>
  <c r="AK71" i="29"/>
  <c r="AH72" i="29"/>
  <c r="AO72" i="29"/>
  <c r="AL72" i="29"/>
  <c r="AK72" i="29"/>
  <c r="AH73" i="29"/>
  <c r="AO73" i="29"/>
  <c r="AL73" i="29"/>
  <c r="AK73" i="29"/>
  <c r="AH74" i="29"/>
  <c r="AL74" i="29"/>
  <c r="AK74" i="29"/>
  <c r="AH75" i="29"/>
  <c r="AL75" i="29"/>
  <c r="AK75" i="29"/>
  <c r="AH79" i="29"/>
  <c r="AO79" i="29"/>
  <c r="A77" i="29"/>
  <c r="A78" i="29"/>
  <c r="AL79" i="29"/>
  <c r="AK79" i="29"/>
  <c r="AH80" i="29"/>
  <c r="AO80" i="29"/>
  <c r="AL80" i="29"/>
  <c r="AK80" i="29"/>
  <c r="AH81" i="29"/>
  <c r="AL81" i="29"/>
  <c r="AK81" i="29"/>
  <c r="AH82" i="29"/>
  <c r="AL82" i="29"/>
  <c r="AK82" i="29"/>
  <c r="AH83" i="29"/>
  <c r="AO83" i="29"/>
  <c r="AL83" i="29"/>
  <c r="AK83" i="29"/>
  <c r="AH84" i="29"/>
  <c r="AO84" i="29"/>
  <c r="AL84" i="29"/>
  <c r="AK84" i="29"/>
  <c r="AH85" i="29"/>
  <c r="AL85" i="29"/>
  <c r="AK85" i="29"/>
  <c r="AH86" i="29"/>
  <c r="AL86" i="29"/>
  <c r="AK86" i="29"/>
  <c r="AH87" i="29"/>
  <c r="AO87" i="29"/>
  <c r="AL87" i="29"/>
  <c r="AK87" i="29"/>
  <c r="AH91" i="29"/>
  <c r="AO91" i="29"/>
  <c r="A89" i="29"/>
  <c r="A90" i="29"/>
  <c r="AL91" i="29"/>
  <c r="AK91" i="29"/>
  <c r="AH92" i="29"/>
  <c r="AL92" i="29"/>
  <c r="AK92" i="29"/>
  <c r="AH93" i="29"/>
  <c r="AL93" i="29"/>
  <c r="AK93" i="29"/>
  <c r="AH94" i="29"/>
  <c r="AO94" i="29"/>
  <c r="AL94" i="29"/>
  <c r="AK94" i="29"/>
  <c r="AH95" i="29"/>
  <c r="AO95" i="29"/>
  <c r="AL95" i="29"/>
  <c r="AK95" i="29"/>
  <c r="AH96" i="29"/>
  <c r="AL96" i="29"/>
  <c r="AK96" i="29"/>
  <c r="AH97" i="29"/>
  <c r="AL97" i="29"/>
  <c r="AK97" i="29"/>
  <c r="AH98" i="29"/>
  <c r="AO98" i="29"/>
  <c r="AL98" i="29"/>
  <c r="AK98" i="29"/>
  <c r="AH99" i="29"/>
  <c r="AL99" i="29"/>
  <c r="AK99" i="29"/>
  <c r="AJ3" i="29"/>
  <c r="AA90" i="29"/>
  <c r="AA89" i="29"/>
  <c r="AA78" i="29"/>
  <c r="AA77" i="29"/>
  <c r="AA66" i="29"/>
  <c r="AA65" i="29"/>
  <c r="AA54" i="29"/>
  <c r="AA53" i="29"/>
  <c r="AA42" i="29"/>
  <c r="AA41" i="29"/>
  <c r="AA30" i="29"/>
  <c r="AA29" i="29"/>
  <c r="AA18" i="29"/>
  <c r="AA17" i="29"/>
  <c r="AA6" i="29"/>
  <c r="AA5" i="29"/>
  <c r="B90" i="29"/>
  <c r="B53" i="29"/>
  <c r="B42" i="29"/>
  <c r="B29" i="29"/>
  <c r="B18" i="29"/>
  <c r="B17" i="29"/>
  <c r="B6" i="29"/>
  <c r="B5" i="29"/>
  <c r="AO3" i="29"/>
  <c r="AN3" i="29"/>
  <c r="AM3" i="29"/>
  <c r="AL3" i="29"/>
  <c r="AK3" i="29"/>
  <c r="AH3" i="29"/>
  <c r="AF3" i="29"/>
  <c r="AE3" i="29"/>
  <c r="AC3" i="29"/>
  <c r="AB3" i="29"/>
  <c r="Z3" i="29"/>
  <c r="Y3" i="29"/>
  <c r="W3" i="29"/>
  <c r="V3" i="29"/>
  <c r="T3" i="29"/>
  <c r="S3" i="29"/>
  <c r="Q3" i="29"/>
  <c r="P3" i="29"/>
  <c r="N3" i="29"/>
  <c r="M3" i="29"/>
  <c r="L3" i="29"/>
  <c r="K3" i="29"/>
  <c r="J3" i="29"/>
  <c r="I3" i="29"/>
  <c r="H3" i="29"/>
  <c r="G3" i="29"/>
  <c r="F3" i="29"/>
  <c r="E3" i="29"/>
  <c r="AA93" i="19"/>
  <c r="B2" i="19"/>
  <c r="AB42" i="18"/>
  <c r="B2" i="18"/>
  <c r="AB43" i="18"/>
  <c r="S93" i="19"/>
  <c r="T42" i="18"/>
  <c r="T43" i="18"/>
  <c r="AN93" i="19"/>
  <c r="AA96" i="19"/>
  <c r="AB96" i="19" s="1"/>
  <c r="S96" i="19"/>
  <c r="AI96" i="19"/>
  <c r="AA97" i="19"/>
  <c r="AB97" i="19" s="1"/>
  <c r="S97" i="19"/>
  <c r="AI97" i="19"/>
  <c r="AA91" i="19"/>
  <c r="AB91" i="19" s="1"/>
  <c r="S91" i="19"/>
  <c r="AA92" i="19"/>
  <c r="AB92" i="19"/>
  <c r="AM92" i="19"/>
  <c r="S92" i="19"/>
  <c r="AA94" i="19"/>
  <c r="AN94" i="19"/>
  <c r="S94" i="19"/>
  <c r="AA95" i="19"/>
  <c r="AI95" i="19"/>
  <c r="AM95" i="19"/>
  <c r="S95" i="19"/>
  <c r="T95" i="19" s="1"/>
  <c r="AU95" i="19" s="1"/>
  <c r="AA98" i="19"/>
  <c r="AB98" i="19" s="1"/>
  <c r="AI98" i="19"/>
  <c r="AJ98" i="19"/>
  <c r="AO98" i="19"/>
  <c r="AP98" i="19"/>
  <c r="AQ98" i="19"/>
  <c r="AM98" i="19"/>
  <c r="AL98" i="19"/>
  <c r="AK98" i="19"/>
  <c r="S98" i="19"/>
  <c r="AA99" i="19"/>
  <c r="AB99" i="19" s="1"/>
  <c r="AI99" i="19"/>
  <c r="AJ99" i="19"/>
  <c r="AN99" i="19"/>
  <c r="AO99" i="19"/>
  <c r="AP99" i="19"/>
  <c r="AQ99" i="19"/>
  <c r="AM99" i="19"/>
  <c r="AL99" i="19"/>
  <c r="AK99" i="19"/>
  <c r="S99" i="19"/>
  <c r="T99" i="19"/>
  <c r="AU99" i="19" s="1"/>
  <c r="AA67" i="19"/>
  <c r="AB67" i="19" s="1"/>
  <c r="AB32" i="18"/>
  <c r="AB33" i="18"/>
  <c r="AI67" i="19"/>
  <c r="AJ67" i="19"/>
  <c r="AN67" i="19"/>
  <c r="AO67" i="19"/>
  <c r="AP67" i="19"/>
  <c r="AQ67" i="19"/>
  <c r="AM67" i="19"/>
  <c r="AL67" i="19"/>
  <c r="AK67" i="19"/>
  <c r="S67" i="19"/>
  <c r="T67" i="19" s="1"/>
  <c r="AU67" i="19" s="1"/>
  <c r="T32" i="18"/>
  <c r="U32" i="18"/>
  <c r="T33" i="18"/>
  <c r="U33" i="18" s="1"/>
  <c r="AT67" i="19"/>
  <c r="AA68" i="19"/>
  <c r="AB68" i="19"/>
  <c r="AI68" i="19"/>
  <c r="AJ68" i="19"/>
  <c r="AN68" i="19"/>
  <c r="AO68" i="19"/>
  <c r="AP68" i="19"/>
  <c r="AQ68" i="19"/>
  <c r="AM68" i="19"/>
  <c r="AL68" i="19"/>
  <c r="AK68" i="19"/>
  <c r="S68" i="19"/>
  <c r="T68" i="19" s="1"/>
  <c r="AU68" i="19" s="1"/>
  <c r="AA69" i="19"/>
  <c r="AB69" i="19"/>
  <c r="AI69" i="19"/>
  <c r="AJ69" i="19"/>
  <c r="AN69" i="19"/>
  <c r="AO69" i="19"/>
  <c r="AP69" i="19"/>
  <c r="AQ69" i="19"/>
  <c r="AM69" i="19"/>
  <c r="AL69" i="19"/>
  <c r="AK69" i="19"/>
  <c r="S69" i="19"/>
  <c r="AT69" i="19" s="1"/>
  <c r="AA70" i="19"/>
  <c r="AB70" i="19"/>
  <c r="AI70" i="19"/>
  <c r="AJ70" i="19"/>
  <c r="AN70" i="19"/>
  <c r="AO70" i="19"/>
  <c r="AP70" i="19"/>
  <c r="AQ70" i="19"/>
  <c r="AM70" i="19"/>
  <c r="AL70" i="19"/>
  <c r="AK70" i="19"/>
  <c r="S70" i="19"/>
  <c r="T70" i="19" s="1"/>
  <c r="AU70" i="19" s="1"/>
  <c r="AA71" i="19"/>
  <c r="AB71" i="19"/>
  <c r="AI71" i="19"/>
  <c r="AJ71" i="19"/>
  <c r="AN71" i="19"/>
  <c r="AO71" i="19"/>
  <c r="AP71" i="19"/>
  <c r="AQ71" i="19"/>
  <c r="AM71" i="19"/>
  <c r="AL71" i="19"/>
  <c r="AK71" i="19"/>
  <c r="S71" i="19"/>
  <c r="AT71" i="19" s="1"/>
  <c r="AA72" i="19"/>
  <c r="AB72" i="19" s="1"/>
  <c r="AI72" i="19"/>
  <c r="AJ72" i="19"/>
  <c r="AN72" i="19"/>
  <c r="AO72" i="19"/>
  <c r="AP72" i="19"/>
  <c r="AQ72" i="19"/>
  <c r="AM72" i="19"/>
  <c r="AL72" i="19"/>
  <c r="AK72" i="19"/>
  <c r="S72" i="19"/>
  <c r="T72" i="19"/>
  <c r="AU72" i="19" s="1"/>
  <c r="AA73" i="19"/>
  <c r="AB73" i="19"/>
  <c r="AI73" i="19"/>
  <c r="AJ73" i="19"/>
  <c r="AN73" i="19"/>
  <c r="AO73" i="19"/>
  <c r="AP73" i="19"/>
  <c r="AQ73" i="19"/>
  <c r="AM73" i="19"/>
  <c r="AL73" i="19"/>
  <c r="AK73" i="19"/>
  <c r="S73" i="19"/>
  <c r="AT73" i="19" s="1"/>
  <c r="AA74" i="19"/>
  <c r="AB74" i="19" s="1"/>
  <c r="AI74" i="19"/>
  <c r="AJ74" i="19"/>
  <c r="AN74" i="19"/>
  <c r="AO74" i="19"/>
  <c r="AP74" i="19"/>
  <c r="AQ74" i="19"/>
  <c r="AM74" i="19"/>
  <c r="AL74" i="19"/>
  <c r="AK74" i="19"/>
  <c r="S74" i="19"/>
  <c r="T74" i="19"/>
  <c r="AU74" i="19" s="1"/>
  <c r="AA75" i="19"/>
  <c r="AB75" i="19" s="1"/>
  <c r="AI75" i="19"/>
  <c r="AJ75" i="19"/>
  <c r="AN75" i="19"/>
  <c r="AO75" i="19"/>
  <c r="AP75" i="19"/>
  <c r="AQ75" i="19"/>
  <c r="AM75" i="19"/>
  <c r="AL75" i="19"/>
  <c r="AK75" i="19"/>
  <c r="S75" i="19"/>
  <c r="T75" i="19"/>
  <c r="AU75" i="19" s="1"/>
  <c r="AT75" i="19"/>
  <c r="AA55" i="19"/>
  <c r="AB55" i="19" s="1"/>
  <c r="AB27" i="18"/>
  <c r="AB28" i="18"/>
  <c r="AI55" i="19"/>
  <c r="AJ55" i="19"/>
  <c r="AN55" i="19"/>
  <c r="AO55" i="19"/>
  <c r="AP55" i="19"/>
  <c r="AQ55" i="19"/>
  <c r="AM55" i="19"/>
  <c r="AL55" i="19"/>
  <c r="AK55" i="19"/>
  <c r="S55" i="19"/>
  <c r="T55" i="19"/>
  <c r="AU55" i="19" s="1"/>
  <c r="T27" i="18"/>
  <c r="U27" i="18"/>
  <c r="U53" i="19" s="1"/>
  <c r="T28" i="18"/>
  <c r="AT55" i="19"/>
  <c r="AA56" i="19"/>
  <c r="AB56" i="19" s="1"/>
  <c r="AI56" i="19"/>
  <c r="AJ56" i="19"/>
  <c r="AN56" i="19"/>
  <c r="AO56" i="19"/>
  <c r="AP56" i="19"/>
  <c r="AQ56" i="19"/>
  <c r="AM56" i="19"/>
  <c r="AL56" i="19"/>
  <c r="AK56" i="19"/>
  <c r="S56" i="19"/>
  <c r="T56" i="19" s="1"/>
  <c r="AT56" i="19"/>
  <c r="AA57" i="19"/>
  <c r="AB57" i="19" s="1"/>
  <c r="AI57" i="19"/>
  <c r="AJ57" i="19"/>
  <c r="AN57" i="19"/>
  <c r="AO57" i="19"/>
  <c r="AP57" i="19"/>
  <c r="AQ57" i="19"/>
  <c r="AM57" i="19"/>
  <c r="AL57" i="19"/>
  <c r="AK57" i="19"/>
  <c r="S57" i="19"/>
  <c r="T57" i="19" s="1"/>
  <c r="AU57" i="19" s="1"/>
  <c r="AT57" i="19"/>
  <c r="AA58" i="19"/>
  <c r="AB58" i="19" s="1"/>
  <c r="AI58" i="19"/>
  <c r="AJ58" i="19"/>
  <c r="AN58" i="19"/>
  <c r="AO58" i="19"/>
  <c r="AP58" i="19"/>
  <c r="AQ58" i="19"/>
  <c r="AM58" i="19"/>
  <c r="AL58" i="19"/>
  <c r="AK58" i="19"/>
  <c r="S58" i="19"/>
  <c r="T58" i="19"/>
  <c r="AA59" i="19"/>
  <c r="AB59" i="19"/>
  <c r="AI59" i="19"/>
  <c r="AJ59" i="19"/>
  <c r="AN59" i="19"/>
  <c r="AO59" i="19"/>
  <c r="AP59" i="19"/>
  <c r="AQ59" i="19"/>
  <c r="AM59" i="19"/>
  <c r="AL59" i="19"/>
  <c r="AK59" i="19"/>
  <c r="S59" i="19"/>
  <c r="T59" i="19" s="1"/>
  <c r="AU59" i="19" s="1"/>
  <c r="AA60" i="19"/>
  <c r="AB60" i="19" s="1"/>
  <c r="AI60" i="19"/>
  <c r="AJ60" i="19"/>
  <c r="AN60" i="19"/>
  <c r="AO60" i="19"/>
  <c r="AP60" i="19"/>
  <c r="AQ60" i="19"/>
  <c r="AM60" i="19"/>
  <c r="AL60" i="19"/>
  <c r="AK60" i="19"/>
  <c r="S60" i="19"/>
  <c r="T60" i="19" s="1"/>
  <c r="AT60" i="19"/>
  <c r="AA61" i="19"/>
  <c r="AB61" i="19" s="1"/>
  <c r="AI61" i="19"/>
  <c r="AJ61" i="19"/>
  <c r="AN61" i="19"/>
  <c r="AO61" i="19"/>
  <c r="AP61" i="19"/>
  <c r="AQ61" i="19"/>
  <c r="AM61" i="19"/>
  <c r="AL61" i="19"/>
  <c r="AK61" i="19"/>
  <c r="S61" i="19"/>
  <c r="T61" i="19"/>
  <c r="AT61" i="19"/>
  <c r="AA62" i="19"/>
  <c r="AB62" i="19" s="1"/>
  <c r="AI62" i="19"/>
  <c r="AJ62" i="19"/>
  <c r="AN62" i="19"/>
  <c r="AO62" i="19"/>
  <c r="AP62" i="19"/>
  <c r="AQ62" i="19"/>
  <c r="AM62" i="19"/>
  <c r="AL62" i="19"/>
  <c r="AK62" i="19"/>
  <c r="S62" i="19"/>
  <c r="AT62" i="19" s="1"/>
  <c r="T62" i="19"/>
  <c r="AA63" i="19"/>
  <c r="AB63" i="19" s="1"/>
  <c r="AI63" i="19"/>
  <c r="AJ63" i="19"/>
  <c r="AN63" i="19"/>
  <c r="AO63" i="19"/>
  <c r="AP63" i="19"/>
  <c r="AQ63" i="19"/>
  <c r="AM63" i="19"/>
  <c r="AL63" i="19"/>
  <c r="AK63" i="19"/>
  <c r="S63" i="19"/>
  <c r="T63" i="19"/>
  <c r="AU63" i="19" s="1"/>
  <c r="AA43" i="19"/>
  <c r="AB43" i="19" s="1"/>
  <c r="AB22" i="18"/>
  <c r="AB23" i="18"/>
  <c r="AI43" i="19"/>
  <c r="AJ43" i="19"/>
  <c r="AN43" i="19"/>
  <c r="AO43" i="19"/>
  <c r="AP43" i="19"/>
  <c r="AQ43" i="19"/>
  <c r="AM43" i="19"/>
  <c r="AL43" i="19"/>
  <c r="AK43" i="19"/>
  <c r="S43" i="19"/>
  <c r="T22" i="18"/>
  <c r="U22" i="18"/>
  <c r="U41" i="19" s="1"/>
  <c r="T23" i="18"/>
  <c r="AA44" i="19"/>
  <c r="AB44" i="19" s="1"/>
  <c r="AI44" i="19"/>
  <c r="AJ44" i="19"/>
  <c r="AN44" i="19"/>
  <c r="AO44" i="19"/>
  <c r="AP44" i="19"/>
  <c r="AQ44" i="19"/>
  <c r="AM44" i="19"/>
  <c r="AL44" i="19"/>
  <c r="AK44" i="19"/>
  <c r="S44" i="19"/>
  <c r="AA45" i="19"/>
  <c r="AB45" i="19" s="1"/>
  <c r="AI45" i="19"/>
  <c r="AJ45" i="19"/>
  <c r="AN45" i="19"/>
  <c r="AO45" i="19"/>
  <c r="AP45" i="19"/>
  <c r="AQ45" i="19"/>
  <c r="AM45" i="19"/>
  <c r="AL45" i="19"/>
  <c r="AK45" i="19"/>
  <c r="S45" i="19"/>
  <c r="AA46" i="19"/>
  <c r="AB46" i="19" s="1"/>
  <c r="AI46" i="19"/>
  <c r="AJ46" i="19"/>
  <c r="AN46" i="19"/>
  <c r="AO46" i="19"/>
  <c r="AP46" i="19"/>
  <c r="AQ46" i="19"/>
  <c r="AM46" i="19"/>
  <c r="AL46" i="19"/>
  <c r="AK46" i="19"/>
  <c r="S46" i="19"/>
  <c r="T46" i="19" s="1"/>
  <c r="AT46" i="19"/>
  <c r="AA47" i="19"/>
  <c r="AB47" i="19" s="1"/>
  <c r="AI47" i="19"/>
  <c r="AJ47" i="19"/>
  <c r="AN47" i="19"/>
  <c r="AO47" i="19"/>
  <c r="AP47" i="19"/>
  <c r="AQ47" i="19"/>
  <c r="AM47" i="19"/>
  <c r="AL47" i="19"/>
  <c r="AK47" i="19"/>
  <c r="S47" i="19"/>
  <c r="T47" i="19"/>
  <c r="AT47" i="19"/>
  <c r="AA48" i="19"/>
  <c r="AB48" i="19" s="1"/>
  <c r="AI48" i="19"/>
  <c r="AJ48" i="19"/>
  <c r="AN48" i="19"/>
  <c r="AO48" i="19"/>
  <c r="AP48" i="19"/>
  <c r="AQ48" i="19"/>
  <c r="AM48" i="19"/>
  <c r="AL48" i="19"/>
  <c r="AK48" i="19"/>
  <c r="S48" i="19"/>
  <c r="T48" i="19" s="1"/>
  <c r="AT48" i="19"/>
  <c r="AA49" i="19"/>
  <c r="AB49" i="19" s="1"/>
  <c r="AI49" i="19"/>
  <c r="AJ49" i="19"/>
  <c r="AN49" i="19"/>
  <c r="AO49" i="19"/>
  <c r="AP49" i="19"/>
  <c r="AQ49" i="19"/>
  <c r="AM49" i="19"/>
  <c r="AL49" i="19"/>
  <c r="AK49" i="19"/>
  <c r="S49" i="19"/>
  <c r="T49" i="19"/>
  <c r="AT49" i="19"/>
  <c r="AA50" i="19"/>
  <c r="AB50" i="19" s="1"/>
  <c r="AI50" i="19"/>
  <c r="AJ50" i="19"/>
  <c r="AN50" i="19"/>
  <c r="AO50" i="19"/>
  <c r="AP50" i="19"/>
  <c r="AQ50" i="19"/>
  <c r="AM50" i="19"/>
  <c r="AL50" i="19"/>
  <c r="AK50" i="19"/>
  <c r="S50" i="19"/>
  <c r="T50" i="19" s="1"/>
  <c r="AA51" i="19"/>
  <c r="AB51" i="19" s="1"/>
  <c r="AI51" i="19"/>
  <c r="AJ51" i="19"/>
  <c r="AN51" i="19"/>
  <c r="AO51" i="19"/>
  <c r="AP51" i="19"/>
  <c r="AQ51" i="19"/>
  <c r="AM51" i="19"/>
  <c r="AL51" i="19"/>
  <c r="AK51" i="19"/>
  <c r="S51" i="19"/>
  <c r="AT51" i="19" s="1"/>
  <c r="AA31" i="19"/>
  <c r="AB31" i="19" s="1"/>
  <c r="AB17" i="18"/>
  <c r="AC17" i="18" s="1"/>
  <c r="AB18" i="18"/>
  <c r="AC18" i="18" s="1"/>
  <c r="AC30" i="19" s="1"/>
  <c r="AI31" i="19"/>
  <c r="AJ31" i="19"/>
  <c r="AN31" i="19"/>
  <c r="AO31" i="19"/>
  <c r="AP31" i="19"/>
  <c r="AQ31" i="19"/>
  <c r="AM31" i="19"/>
  <c r="AL31" i="19"/>
  <c r="AK31" i="19"/>
  <c r="S31" i="19"/>
  <c r="T31" i="19" s="1"/>
  <c r="T17" i="18"/>
  <c r="AX17" i="18" s="1"/>
  <c r="T18" i="18"/>
  <c r="U18" i="18" s="1"/>
  <c r="AA32" i="19"/>
  <c r="AB32" i="19" s="1"/>
  <c r="AI32" i="19"/>
  <c r="AJ32" i="19"/>
  <c r="AN32" i="19"/>
  <c r="AO32" i="19"/>
  <c r="AP32" i="19"/>
  <c r="AQ32" i="19"/>
  <c r="AM32" i="19"/>
  <c r="AL32" i="19"/>
  <c r="AK32" i="19"/>
  <c r="S32" i="19"/>
  <c r="AA33" i="19"/>
  <c r="AB33" i="19" s="1"/>
  <c r="AI33" i="19"/>
  <c r="AJ33" i="19"/>
  <c r="AN33" i="19"/>
  <c r="AO33" i="19"/>
  <c r="AP33" i="19"/>
  <c r="AQ33" i="19"/>
  <c r="AM33" i="19"/>
  <c r="AL33" i="19"/>
  <c r="AK33" i="19"/>
  <c r="S33" i="19"/>
  <c r="T33" i="19" s="1"/>
  <c r="AT33" i="19"/>
  <c r="AA34" i="19"/>
  <c r="AB34" i="19" s="1"/>
  <c r="AI34" i="19"/>
  <c r="AJ34" i="19"/>
  <c r="AN34" i="19"/>
  <c r="AO34" i="19"/>
  <c r="AP34" i="19"/>
  <c r="AQ34" i="19"/>
  <c r="AM34" i="19"/>
  <c r="AL34" i="19"/>
  <c r="AK34" i="19"/>
  <c r="S34" i="19"/>
  <c r="T34" i="19" s="1"/>
  <c r="AU34" i="19" s="1"/>
  <c r="AA35" i="19"/>
  <c r="AB35" i="19" s="1"/>
  <c r="AI35" i="19"/>
  <c r="AJ35" i="19"/>
  <c r="AN35" i="19"/>
  <c r="AO35" i="19"/>
  <c r="AP35" i="19"/>
  <c r="AQ35" i="19"/>
  <c r="AM35" i="19"/>
  <c r="AL35" i="19"/>
  <c r="AK35" i="19"/>
  <c r="S35" i="19"/>
  <c r="AT35" i="19" s="1"/>
  <c r="T35" i="19"/>
  <c r="AU35" i="19" s="1"/>
  <c r="AA36" i="19"/>
  <c r="AB36" i="19" s="1"/>
  <c r="AI36" i="19"/>
  <c r="AJ36" i="19"/>
  <c r="AN36" i="19"/>
  <c r="AO36" i="19"/>
  <c r="AP36" i="19"/>
  <c r="AQ36" i="19"/>
  <c r="AM36" i="19"/>
  <c r="AL36" i="19"/>
  <c r="AK36" i="19"/>
  <c r="S36" i="19"/>
  <c r="T36" i="19" s="1"/>
  <c r="AU36" i="19" s="1"/>
  <c r="AT36" i="19"/>
  <c r="AA37" i="19"/>
  <c r="AB37" i="19" s="1"/>
  <c r="AI37" i="19"/>
  <c r="AJ37" i="19"/>
  <c r="AN37" i="19"/>
  <c r="AO37" i="19"/>
  <c r="AP37" i="19"/>
  <c r="AQ37" i="19"/>
  <c r="AM37" i="19"/>
  <c r="AL37" i="19"/>
  <c r="AK37" i="19"/>
  <c r="S37" i="19"/>
  <c r="T37" i="19" s="1"/>
  <c r="AA38" i="19"/>
  <c r="AB38" i="19" s="1"/>
  <c r="AI38" i="19"/>
  <c r="AJ38" i="19"/>
  <c r="AN38" i="19"/>
  <c r="AO38" i="19"/>
  <c r="AP38" i="19"/>
  <c r="AQ38" i="19"/>
  <c r="AM38" i="19"/>
  <c r="AL38" i="19"/>
  <c r="AK38" i="19"/>
  <c r="S38" i="19"/>
  <c r="AT38" i="19" s="1"/>
  <c r="T38" i="19"/>
  <c r="AU38" i="19" s="1"/>
  <c r="AA39" i="19"/>
  <c r="AB39" i="19" s="1"/>
  <c r="AI39" i="19"/>
  <c r="AJ39" i="19"/>
  <c r="AN39" i="19"/>
  <c r="AO39" i="19"/>
  <c r="AP39" i="19"/>
  <c r="AQ39" i="19"/>
  <c r="AM39" i="19"/>
  <c r="AL39" i="19"/>
  <c r="AK39" i="19"/>
  <c r="S39" i="19"/>
  <c r="AT39" i="19"/>
  <c r="T39" i="19"/>
  <c r="AU39" i="19" s="1"/>
  <c r="AA19" i="19"/>
  <c r="AB19" i="19" s="1"/>
  <c r="AB12" i="18"/>
  <c r="AB13" i="18"/>
  <c r="AC13" i="18" s="1"/>
  <c r="AC18" i="19" s="1"/>
  <c r="AI19" i="19"/>
  <c r="AJ19" i="19"/>
  <c r="AN19" i="19"/>
  <c r="AO19" i="19"/>
  <c r="AP19" i="19"/>
  <c r="AQ19" i="19"/>
  <c r="AM19" i="19"/>
  <c r="AL19" i="19"/>
  <c r="AK19" i="19"/>
  <c r="S19" i="19"/>
  <c r="T19" i="19" s="1"/>
  <c r="AU19" i="19" s="1"/>
  <c r="T12" i="18"/>
  <c r="T13" i="18"/>
  <c r="AX13" i="18" s="1"/>
  <c r="U13" i="18"/>
  <c r="U18" i="19" s="1"/>
  <c r="AA20" i="19"/>
  <c r="AB20" i="19" s="1"/>
  <c r="AI20" i="19"/>
  <c r="AJ20" i="19"/>
  <c r="AN20" i="19"/>
  <c r="AO20" i="19"/>
  <c r="AP20" i="19"/>
  <c r="AQ20" i="19"/>
  <c r="AM20" i="19"/>
  <c r="AL20" i="19"/>
  <c r="AK20" i="19"/>
  <c r="S20" i="19"/>
  <c r="T20" i="19" s="1"/>
  <c r="AU20" i="19" s="1"/>
  <c r="AT20" i="19"/>
  <c r="AA21" i="19"/>
  <c r="AB21" i="19" s="1"/>
  <c r="AI21" i="19"/>
  <c r="AJ21" i="19"/>
  <c r="AN21" i="19"/>
  <c r="AO21" i="19"/>
  <c r="AP21" i="19"/>
  <c r="AQ21" i="19"/>
  <c r="AM21" i="19"/>
  <c r="AL21" i="19"/>
  <c r="AK21" i="19"/>
  <c r="S21" i="19"/>
  <c r="AT21" i="19" s="1"/>
  <c r="T21" i="19"/>
  <c r="AU21" i="19" s="1"/>
  <c r="AA22" i="19"/>
  <c r="AB22" i="19" s="1"/>
  <c r="AI22" i="19"/>
  <c r="AJ22" i="19"/>
  <c r="AN22" i="19"/>
  <c r="AO22" i="19"/>
  <c r="AP22" i="19"/>
  <c r="AQ22" i="19"/>
  <c r="AM22" i="19"/>
  <c r="AL22" i="19"/>
  <c r="AK22" i="19"/>
  <c r="S22" i="19"/>
  <c r="T22" i="19" s="1"/>
  <c r="AU22" i="19" s="1"/>
  <c r="AT22" i="19"/>
  <c r="AA23" i="19"/>
  <c r="AB23" i="19" s="1"/>
  <c r="AI23" i="19"/>
  <c r="AJ23" i="19"/>
  <c r="AN23" i="19"/>
  <c r="AO23" i="19"/>
  <c r="AP23" i="19"/>
  <c r="AQ23" i="19"/>
  <c r="AM23" i="19"/>
  <c r="AL23" i="19"/>
  <c r="AK23" i="19"/>
  <c r="S23" i="19"/>
  <c r="AT23" i="19" s="1"/>
  <c r="T23" i="19"/>
  <c r="AU23" i="19" s="1"/>
  <c r="AA24" i="19"/>
  <c r="AB24" i="19" s="1"/>
  <c r="AI24" i="19"/>
  <c r="AJ24" i="19"/>
  <c r="AN24" i="19"/>
  <c r="AO24" i="19"/>
  <c r="AP24" i="19"/>
  <c r="AQ24" i="19"/>
  <c r="AM24" i="19"/>
  <c r="AL24" i="19"/>
  <c r="AK24" i="19"/>
  <c r="S24" i="19"/>
  <c r="T24" i="19" s="1"/>
  <c r="AU24" i="19" s="1"/>
  <c r="AT24" i="19"/>
  <c r="AA25" i="19"/>
  <c r="AB25" i="19" s="1"/>
  <c r="AI25" i="19"/>
  <c r="AJ25" i="19"/>
  <c r="AN25" i="19"/>
  <c r="AO25" i="19"/>
  <c r="AP25" i="19"/>
  <c r="AQ25" i="19"/>
  <c r="AM25" i="19"/>
  <c r="AL25" i="19"/>
  <c r="AK25" i="19"/>
  <c r="S25" i="19"/>
  <c r="AT25" i="19" s="1"/>
  <c r="T25" i="19"/>
  <c r="AU25" i="19" s="1"/>
  <c r="AA26" i="19"/>
  <c r="AB26" i="19" s="1"/>
  <c r="AI26" i="19"/>
  <c r="AJ26" i="19"/>
  <c r="AN26" i="19"/>
  <c r="AO26" i="19"/>
  <c r="AP26" i="19"/>
  <c r="AQ26" i="19"/>
  <c r="AM26" i="19"/>
  <c r="AL26" i="19"/>
  <c r="AK26" i="19"/>
  <c r="S26" i="19"/>
  <c r="T26" i="19" s="1"/>
  <c r="AU26" i="19" s="1"/>
  <c r="AT26" i="19"/>
  <c r="AA27" i="19"/>
  <c r="AB27" i="19" s="1"/>
  <c r="AI27" i="19"/>
  <c r="AJ27" i="19"/>
  <c r="AN27" i="19"/>
  <c r="AO27" i="19"/>
  <c r="AP27" i="19"/>
  <c r="AQ27" i="19"/>
  <c r="AM27" i="19"/>
  <c r="AL27" i="19"/>
  <c r="AK27" i="19"/>
  <c r="S27" i="19"/>
  <c r="AT27" i="19" s="1"/>
  <c r="T27" i="19"/>
  <c r="AU27" i="19" s="1"/>
  <c r="AA7" i="19"/>
  <c r="AB7" i="19" s="1"/>
  <c r="AB7" i="18"/>
  <c r="AB8" i="18"/>
  <c r="AI7" i="19"/>
  <c r="AJ7" i="19"/>
  <c r="AN7" i="19"/>
  <c r="AO7" i="19"/>
  <c r="AP7" i="19"/>
  <c r="AQ7" i="19"/>
  <c r="AM7" i="19"/>
  <c r="AL7" i="19"/>
  <c r="AK7" i="19"/>
  <c r="S7" i="19"/>
  <c r="T7" i="19" s="1"/>
  <c r="AU7" i="19" s="1"/>
  <c r="T7" i="18"/>
  <c r="AX7" i="18" s="1"/>
  <c r="U7" i="18"/>
  <c r="U5" i="19" s="1"/>
  <c r="T8" i="18"/>
  <c r="AA8" i="19"/>
  <c r="AB8" i="19" s="1"/>
  <c r="AI8" i="19"/>
  <c r="AJ8" i="19"/>
  <c r="AN8" i="19"/>
  <c r="AO8" i="19"/>
  <c r="AP8" i="19"/>
  <c r="AQ8" i="19"/>
  <c r="AM8" i="19"/>
  <c r="AL8" i="19"/>
  <c r="AK8" i="19"/>
  <c r="S8" i="19"/>
  <c r="T8" i="19" s="1"/>
  <c r="AA9" i="19"/>
  <c r="AB9" i="19" s="1"/>
  <c r="AI9" i="19"/>
  <c r="AJ9" i="19"/>
  <c r="AN9" i="19"/>
  <c r="AO9" i="19"/>
  <c r="AP9" i="19"/>
  <c r="AQ9" i="19"/>
  <c r="AM9" i="19"/>
  <c r="AL9" i="19"/>
  <c r="AK9" i="19"/>
  <c r="S9" i="19"/>
  <c r="AT9" i="19" s="1"/>
  <c r="AA10" i="19"/>
  <c r="AB10" i="19" s="1"/>
  <c r="AI10" i="19"/>
  <c r="AJ10" i="19"/>
  <c r="AN10" i="19"/>
  <c r="AO10" i="19"/>
  <c r="AP10" i="19"/>
  <c r="AQ10" i="19"/>
  <c r="AM10" i="19"/>
  <c r="AL10" i="19"/>
  <c r="AK10" i="19"/>
  <c r="S10" i="19"/>
  <c r="T10" i="19" s="1"/>
  <c r="AU10" i="19" s="1"/>
  <c r="AA11" i="19"/>
  <c r="AB11" i="19" s="1"/>
  <c r="AI11" i="19"/>
  <c r="AJ11" i="19"/>
  <c r="AN11" i="19"/>
  <c r="AO11" i="19"/>
  <c r="AP11" i="19"/>
  <c r="AQ11" i="19"/>
  <c r="AM11" i="19"/>
  <c r="AL11" i="19"/>
  <c r="AK11" i="19"/>
  <c r="S11" i="19"/>
  <c r="AT11" i="19" s="1"/>
  <c r="AA12" i="19"/>
  <c r="AB12" i="19" s="1"/>
  <c r="AI12" i="19"/>
  <c r="AJ12" i="19"/>
  <c r="AN12" i="19"/>
  <c r="AO12" i="19"/>
  <c r="AP12" i="19"/>
  <c r="AQ12" i="19"/>
  <c r="AM12" i="19"/>
  <c r="AL12" i="19"/>
  <c r="AK12" i="19"/>
  <c r="S12" i="19"/>
  <c r="T12" i="19" s="1"/>
  <c r="AT12" i="19"/>
  <c r="AA13" i="19"/>
  <c r="AB13" i="19" s="1"/>
  <c r="AI13" i="19"/>
  <c r="AJ13" i="19"/>
  <c r="AN13" i="19"/>
  <c r="AO13" i="19"/>
  <c r="AP13" i="19"/>
  <c r="AQ13" i="19"/>
  <c r="AM13" i="19"/>
  <c r="AL13" i="19"/>
  <c r="AK13" i="19"/>
  <c r="S13" i="19"/>
  <c r="T13" i="19"/>
  <c r="AU13" i="19" s="1"/>
  <c r="AA14" i="19"/>
  <c r="AB14" i="19" s="1"/>
  <c r="AI14" i="19"/>
  <c r="AJ14" i="19"/>
  <c r="AN14" i="19"/>
  <c r="AO14" i="19"/>
  <c r="AP14" i="19"/>
  <c r="AQ14" i="19"/>
  <c r="AM14" i="19"/>
  <c r="AL14" i="19"/>
  <c r="AK14" i="19"/>
  <c r="S14" i="19"/>
  <c r="AT14" i="19" s="1"/>
  <c r="T14" i="19"/>
  <c r="AA15" i="19"/>
  <c r="AB15" i="19" s="1"/>
  <c r="AI15" i="19"/>
  <c r="AJ15" i="19"/>
  <c r="AN15" i="19"/>
  <c r="AO15" i="19"/>
  <c r="AP15" i="19"/>
  <c r="AQ15" i="19"/>
  <c r="AM15" i="19"/>
  <c r="AL15" i="19"/>
  <c r="AK15" i="19"/>
  <c r="S15" i="19"/>
  <c r="T15" i="19" s="1"/>
  <c r="AU15" i="19" s="1"/>
  <c r="AT15" i="19"/>
  <c r="AA87" i="19"/>
  <c r="AB87" i="19" s="1"/>
  <c r="AB37" i="18"/>
  <c r="AC37" i="18"/>
  <c r="AC77" i="19" s="1"/>
  <c r="AB38" i="18"/>
  <c r="AI87" i="19"/>
  <c r="AJ87" i="19"/>
  <c r="AN87" i="19"/>
  <c r="AO87" i="19"/>
  <c r="AP87" i="19"/>
  <c r="AQ87" i="19"/>
  <c r="AM87" i="19"/>
  <c r="AL87" i="19"/>
  <c r="AK87" i="19"/>
  <c r="S87" i="19"/>
  <c r="T87" i="19" s="1"/>
  <c r="T37" i="18"/>
  <c r="T38" i="18"/>
  <c r="U38" i="18" s="1"/>
  <c r="U78" i="19" s="1"/>
  <c r="AA86" i="19"/>
  <c r="AB86" i="19" s="1"/>
  <c r="AI86" i="19"/>
  <c r="AJ86" i="19"/>
  <c r="AN86" i="19"/>
  <c r="AO86" i="19"/>
  <c r="AP86" i="19"/>
  <c r="AQ86" i="19"/>
  <c r="AM86" i="19"/>
  <c r="AL86" i="19"/>
  <c r="AK86" i="19"/>
  <c r="S86" i="19"/>
  <c r="T86" i="19" s="1"/>
  <c r="AU86" i="19" s="1"/>
  <c r="AA85" i="19"/>
  <c r="AB85" i="19" s="1"/>
  <c r="AI85" i="19"/>
  <c r="AJ85" i="19"/>
  <c r="AN85" i="19"/>
  <c r="AO85" i="19"/>
  <c r="AP85" i="19"/>
  <c r="AQ85" i="19"/>
  <c r="AM85" i="19"/>
  <c r="AL85" i="19"/>
  <c r="AK85" i="19"/>
  <c r="S85" i="19"/>
  <c r="AA84" i="19"/>
  <c r="AB84" i="19"/>
  <c r="AI84" i="19"/>
  <c r="AJ84" i="19"/>
  <c r="AN84" i="19"/>
  <c r="AO84" i="19"/>
  <c r="AP84" i="19"/>
  <c r="AQ84" i="19"/>
  <c r="AM84" i="19"/>
  <c r="AL84" i="19"/>
  <c r="AK84" i="19"/>
  <c r="S84" i="19"/>
  <c r="T84" i="19" s="1"/>
  <c r="AA83" i="19"/>
  <c r="AB83" i="19" s="1"/>
  <c r="AI83" i="19"/>
  <c r="AJ83" i="19"/>
  <c r="AN83" i="19"/>
  <c r="AO83" i="19"/>
  <c r="AP83" i="19"/>
  <c r="AQ83" i="19"/>
  <c r="AM83" i="19"/>
  <c r="AL83" i="19"/>
  <c r="AK83" i="19"/>
  <c r="S83" i="19"/>
  <c r="AA82" i="19"/>
  <c r="AB82" i="19" s="1"/>
  <c r="AI82" i="19"/>
  <c r="AJ82" i="19"/>
  <c r="AN82" i="19"/>
  <c r="AO82" i="19"/>
  <c r="AP82" i="19"/>
  <c r="AQ82" i="19"/>
  <c r="AM82" i="19"/>
  <c r="AL82" i="19"/>
  <c r="AK82" i="19"/>
  <c r="S82" i="19"/>
  <c r="T82" i="19" s="1"/>
  <c r="AA81" i="19"/>
  <c r="AB81" i="19"/>
  <c r="AI81" i="19"/>
  <c r="AJ81" i="19"/>
  <c r="AN81" i="19"/>
  <c r="AO81" i="19"/>
  <c r="AP81" i="19"/>
  <c r="AQ81" i="19"/>
  <c r="AM81" i="19"/>
  <c r="AL81" i="19"/>
  <c r="AK81" i="19"/>
  <c r="S81" i="19"/>
  <c r="AT81" i="19" s="1"/>
  <c r="AA80" i="19"/>
  <c r="AB80" i="19" s="1"/>
  <c r="AI80" i="19"/>
  <c r="AJ80" i="19"/>
  <c r="AN80" i="19"/>
  <c r="AO80" i="19"/>
  <c r="AP80" i="19"/>
  <c r="AQ80" i="19"/>
  <c r="AM80" i="19"/>
  <c r="AL80" i="19"/>
  <c r="AK80" i="19"/>
  <c r="S80" i="19"/>
  <c r="AA79" i="19"/>
  <c r="AB79" i="19" s="1"/>
  <c r="AI79" i="19"/>
  <c r="AJ79" i="19"/>
  <c r="AN79" i="19"/>
  <c r="AO79" i="19"/>
  <c r="AP79" i="19"/>
  <c r="AQ79" i="19"/>
  <c r="AM79" i="19"/>
  <c r="AL79" i="19"/>
  <c r="AK79" i="19"/>
  <c r="S79" i="19"/>
  <c r="AK3" i="19"/>
  <c r="AN3" i="19"/>
  <c r="AU3" i="19"/>
  <c r="AT3" i="19"/>
  <c r="AI3" i="19"/>
  <c r="AS3" i="19"/>
  <c r="AR3" i="19"/>
  <c r="AB3" i="19"/>
  <c r="T3" i="19"/>
  <c r="AP3" i="19"/>
  <c r="AO3" i="19"/>
  <c r="AG3" i="19"/>
  <c r="AF3" i="19"/>
  <c r="AD3" i="19"/>
  <c r="AC3" i="19"/>
  <c r="Y3" i="19"/>
  <c r="X3" i="19"/>
  <c r="V3" i="19"/>
  <c r="U3" i="19"/>
  <c r="AA3" i="19"/>
  <c r="S3" i="19"/>
  <c r="B90" i="19"/>
  <c r="B89" i="19"/>
  <c r="B78" i="19"/>
  <c r="B77" i="19"/>
  <c r="B66" i="19"/>
  <c r="B65" i="19"/>
  <c r="B54" i="19"/>
  <c r="B53" i="19"/>
  <c r="B42" i="19"/>
  <c r="B41" i="19"/>
  <c r="B30" i="19"/>
  <c r="B29" i="19"/>
  <c r="B18" i="19"/>
  <c r="B17" i="19"/>
  <c r="A17" i="19"/>
  <c r="A18" i="19"/>
  <c r="A29" i="19"/>
  <c r="A30" i="19"/>
  <c r="A41" i="19"/>
  <c r="A42" i="19"/>
  <c r="A53" i="19"/>
  <c r="A54" i="19"/>
  <c r="A65" i="19"/>
  <c r="A66" i="19"/>
  <c r="A77" i="19"/>
  <c r="A78" i="19"/>
  <c r="A89" i="19"/>
  <c r="A90" i="19"/>
  <c r="E3" i="19"/>
  <c r="F3" i="19"/>
  <c r="G3" i="19"/>
  <c r="H3" i="19"/>
  <c r="I3" i="19"/>
  <c r="J3" i="19"/>
  <c r="K3" i="19"/>
  <c r="L3" i="19"/>
  <c r="M3" i="19"/>
  <c r="N3" i="19"/>
  <c r="O3" i="19"/>
  <c r="P3" i="19"/>
  <c r="AJ3" i="19"/>
  <c r="AL3" i="19"/>
  <c r="AM3" i="19"/>
  <c r="AQ3" i="19"/>
  <c r="A5" i="19"/>
  <c r="B5" i="19"/>
  <c r="A6" i="19"/>
  <c r="B6" i="19"/>
  <c r="AA7" i="46"/>
  <c r="B2" i="46"/>
  <c r="AX8" i="46" s="1"/>
  <c r="AC7" i="45"/>
  <c r="B2" i="45"/>
  <c r="AD7" i="45"/>
  <c r="AC8" i="45"/>
  <c r="AD8" i="45" s="1"/>
  <c r="S7" i="46"/>
  <c r="S7" i="45"/>
  <c r="U7" i="45" s="1"/>
  <c r="S8" i="45"/>
  <c r="S99" i="46"/>
  <c r="S98" i="46"/>
  <c r="S97" i="46"/>
  <c r="T97" i="46"/>
  <c r="S96" i="46"/>
  <c r="S95" i="46"/>
  <c r="S94" i="46"/>
  <c r="S93" i="46"/>
  <c r="T93" i="46" s="1"/>
  <c r="S92" i="46"/>
  <c r="S91" i="46"/>
  <c r="S87" i="46"/>
  <c r="S86" i="46"/>
  <c r="T86" i="46" s="1"/>
  <c r="BD86" i="46" s="1"/>
  <c r="S85" i="46"/>
  <c r="S84" i="46"/>
  <c r="S83" i="46"/>
  <c r="S82" i="46"/>
  <c r="S81" i="46"/>
  <c r="S80" i="46"/>
  <c r="S79" i="46"/>
  <c r="S75" i="46"/>
  <c r="T75" i="46" s="1"/>
  <c r="BD75" i="46" s="1"/>
  <c r="S74" i="46"/>
  <c r="S73" i="46"/>
  <c r="S72" i="46"/>
  <c r="S71" i="46"/>
  <c r="S70" i="46"/>
  <c r="S69" i="46"/>
  <c r="S68" i="46"/>
  <c r="S67" i="46"/>
  <c r="S63" i="46"/>
  <c r="T63" i="46" s="1"/>
  <c r="S62" i="46"/>
  <c r="S61" i="46"/>
  <c r="S60" i="46"/>
  <c r="S59" i="46"/>
  <c r="S58" i="46"/>
  <c r="S57" i="46"/>
  <c r="S56" i="46"/>
  <c r="T56" i="46" s="1"/>
  <c r="S55" i="46"/>
  <c r="S51" i="46"/>
  <c r="S50" i="46"/>
  <c r="S49" i="46"/>
  <c r="S48" i="46"/>
  <c r="S47" i="46"/>
  <c r="S46" i="46"/>
  <c r="S45" i="46"/>
  <c r="S44" i="46"/>
  <c r="S43" i="46"/>
  <c r="S39" i="46"/>
  <c r="S38" i="46"/>
  <c r="S37" i="46"/>
  <c r="S36" i="46"/>
  <c r="S35" i="46"/>
  <c r="S34" i="46"/>
  <c r="S33" i="46"/>
  <c r="S32" i="46"/>
  <c r="S31" i="46"/>
  <c r="T31" i="46" s="1"/>
  <c r="S27" i="46"/>
  <c r="S26" i="46"/>
  <c r="S25" i="46"/>
  <c r="S24" i="46"/>
  <c r="S23" i="46"/>
  <c r="S22" i="46"/>
  <c r="BC22" i="46" s="1"/>
  <c r="S21" i="46"/>
  <c r="T21" i="46" s="1"/>
  <c r="BD21" i="46" s="1"/>
  <c r="S20" i="46"/>
  <c r="S19" i="46"/>
  <c r="S15" i="46"/>
  <c r="S14" i="46"/>
  <c r="S13" i="46"/>
  <c r="S12" i="46"/>
  <c r="S11" i="46"/>
  <c r="S10" i="46"/>
  <c r="S9" i="46"/>
  <c r="S8" i="46"/>
  <c r="AK42" i="45"/>
  <c r="AK43" i="45"/>
  <c r="AC42" i="45"/>
  <c r="AD42" i="45"/>
  <c r="AC89" i="46" s="1"/>
  <c r="AC43" i="45"/>
  <c r="AD43" i="45" s="1"/>
  <c r="AC90" i="46" s="1"/>
  <c r="S42" i="45"/>
  <c r="S43" i="45"/>
  <c r="U43" i="45" s="1"/>
  <c r="U90" i="46" s="1"/>
  <c r="B90" i="46"/>
  <c r="A90" i="46"/>
  <c r="B89" i="46"/>
  <c r="A89" i="46"/>
  <c r="AK37" i="45"/>
  <c r="AL37" i="45" s="1"/>
  <c r="AK77" i="46" s="1"/>
  <c r="AK38" i="45"/>
  <c r="AC37" i="45"/>
  <c r="AC38" i="45"/>
  <c r="AD38" i="45" s="1"/>
  <c r="AC78" i="46" s="1"/>
  <c r="S37" i="45"/>
  <c r="U37" i="45"/>
  <c r="S38" i="45"/>
  <c r="B78" i="46"/>
  <c r="A78" i="46"/>
  <c r="B77" i="46"/>
  <c r="A77" i="46"/>
  <c r="AK32" i="45"/>
  <c r="AK33" i="45"/>
  <c r="AL33" i="45" s="1"/>
  <c r="AK66" i="46" s="1"/>
  <c r="AC32" i="45"/>
  <c r="AC33" i="45"/>
  <c r="S32" i="45"/>
  <c r="S33" i="45"/>
  <c r="U33" i="45"/>
  <c r="B66" i="46"/>
  <c r="A66" i="46"/>
  <c r="B65" i="46"/>
  <c r="A65" i="46"/>
  <c r="AK27" i="45"/>
  <c r="AL27" i="45" s="1"/>
  <c r="AK53" i="46" s="1"/>
  <c r="AK28" i="45"/>
  <c r="AC27" i="45"/>
  <c r="AC28" i="45"/>
  <c r="S27" i="45"/>
  <c r="U27" i="45" s="1"/>
  <c r="U53" i="46" s="1"/>
  <c r="S28" i="45"/>
  <c r="B54" i="46"/>
  <c r="A54" i="46"/>
  <c r="B53" i="46"/>
  <c r="A53" i="46"/>
  <c r="AK22" i="45"/>
  <c r="AK23" i="45"/>
  <c r="AL23" i="45" s="1"/>
  <c r="AK42" i="46" s="1"/>
  <c r="AC22" i="45"/>
  <c r="AD22" i="45"/>
  <c r="AC41" i="46" s="1"/>
  <c r="AC23" i="45"/>
  <c r="S22" i="45"/>
  <c r="S23" i="45"/>
  <c r="U23" i="45" s="1"/>
  <c r="U42" i="46" s="1"/>
  <c r="B42" i="46"/>
  <c r="A42" i="46"/>
  <c r="B41" i="46"/>
  <c r="A41" i="46"/>
  <c r="AK17" i="45"/>
  <c r="AL17" i="45" s="1"/>
  <c r="AK29" i="46" s="1"/>
  <c r="AK18" i="45"/>
  <c r="AC17" i="45"/>
  <c r="AC18" i="45"/>
  <c r="AD18" i="45"/>
  <c r="AC30" i="46" s="1"/>
  <c r="S17" i="45"/>
  <c r="U17" i="45" s="1"/>
  <c r="U29" i="46" s="1"/>
  <c r="S18" i="45"/>
  <c r="B30" i="46"/>
  <c r="A30" i="46"/>
  <c r="B29" i="46"/>
  <c r="A29" i="46"/>
  <c r="AK12" i="45"/>
  <c r="AK13" i="45"/>
  <c r="AL13" i="45" s="1"/>
  <c r="AK18" i="46" s="1"/>
  <c r="AC12" i="45"/>
  <c r="AD12" i="45" s="1"/>
  <c r="AC17" i="46" s="1"/>
  <c r="AC13" i="45"/>
  <c r="S12" i="45"/>
  <c r="S13" i="45"/>
  <c r="U13" i="45" s="1"/>
  <c r="U18" i="46" s="1"/>
  <c r="B18" i="46"/>
  <c r="A18" i="46"/>
  <c r="B17" i="46"/>
  <c r="A17" i="46"/>
  <c r="AK7" i="45"/>
  <c r="AL7" i="45"/>
  <c r="AK5" i="46" s="1"/>
  <c r="AK8" i="45"/>
  <c r="B6" i="46"/>
  <c r="A6" i="46"/>
  <c r="B5" i="46"/>
  <c r="A5" i="46"/>
  <c r="AI7" i="46"/>
  <c r="BE7" i="46"/>
  <c r="AI8" i="46"/>
  <c r="AA8" i="46"/>
  <c r="AI9" i="46"/>
  <c r="AY9" i="46"/>
  <c r="AA9" i="46"/>
  <c r="AI10" i="46"/>
  <c r="AA10" i="46"/>
  <c r="AB10" i="46" s="1"/>
  <c r="AI11" i="46"/>
  <c r="AV11" i="46"/>
  <c r="AA11" i="46"/>
  <c r="AI12" i="46"/>
  <c r="AA12" i="46"/>
  <c r="AI13" i="46"/>
  <c r="AJ13" i="46" s="1"/>
  <c r="AA13" i="46"/>
  <c r="AI14" i="46"/>
  <c r="AZ14" i="46"/>
  <c r="AA14" i="46"/>
  <c r="AI15" i="46"/>
  <c r="AX15" i="46"/>
  <c r="AA15" i="46"/>
  <c r="AI19" i="46"/>
  <c r="AA19" i="46"/>
  <c r="BE19" i="46" s="1"/>
  <c r="AI20" i="46"/>
  <c r="AA20" i="46"/>
  <c r="AI21" i="46"/>
  <c r="AA21" i="46"/>
  <c r="AI22" i="46"/>
  <c r="AA22" i="46"/>
  <c r="AI23" i="46"/>
  <c r="AW23" i="46"/>
  <c r="AA23" i="46"/>
  <c r="AI24" i="46"/>
  <c r="AR24" i="46"/>
  <c r="AA24" i="46"/>
  <c r="AI25" i="46"/>
  <c r="BC25" i="46"/>
  <c r="AA25" i="46"/>
  <c r="AI26" i="46"/>
  <c r="BC26" i="46"/>
  <c r="AA26" i="46"/>
  <c r="AI27" i="46"/>
  <c r="AR27" i="46"/>
  <c r="AA27" i="46"/>
  <c r="AI31" i="46"/>
  <c r="AA31" i="46"/>
  <c r="AB31" i="46"/>
  <c r="AI32" i="46"/>
  <c r="AA32" i="46"/>
  <c r="AI33" i="46"/>
  <c r="AV33" i="46"/>
  <c r="AA33" i="46"/>
  <c r="AI34" i="46"/>
  <c r="AR34" i="46"/>
  <c r="AA34" i="46"/>
  <c r="AI35" i="46"/>
  <c r="AJ35" i="46"/>
  <c r="AA35" i="46"/>
  <c r="AI36" i="46"/>
  <c r="AA36" i="46"/>
  <c r="BE36" i="46" s="1"/>
  <c r="AI37" i="46"/>
  <c r="AX37" i="46"/>
  <c r="AA37" i="46"/>
  <c r="AI38" i="46"/>
  <c r="AA38" i="46"/>
  <c r="BE38" i="46" s="1"/>
  <c r="AI39" i="46"/>
  <c r="AA39" i="46"/>
  <c r="AI43" i="46"/>
  <c r="AA43" i="46"/>
  <c r="AI44" i="46"/>
  <c r="AU44" i="46"/>
  <c r="AA44" i="46"/>
  <c r="AI45" i="46"/>
  <c r="AY45" i="46"/>
  <c r="AU45" i="46"/>
  <c r="AA45" i="46"/>
  <c r="AI46" i="46"/>
  <c r="AS46" i="46"/>
  <c r="AY46" i="46"/>
  <c r="AA46" i="46"/>
  <c r="AI47" i="46"/>
  <c r="AS47" i="46"/>
  <c r="AA47" i="46"/>
  <c r="AI48" i="46"/>
  <c r="AA48" i="46"/>
  <c r="AI49" i="46"/>
  <c r="AA49" i="46"/>
  <c r="AI50" i="46"/>
  <c r="AA50" i="46"/>
  <c r="AI51" i="46"/>
  <c r="AA51" i="46"/>
  <c r="AI55" i="46"/>
  <c r="AU55" i="46"/>
  <c r="AA55" i="46"/>
  <c r="AI56" i="46"/>
  <c r="AZ56" i="46"/>
  <c r="AA56" i="46"/>
  <c r="AI57" i="46"/>
  <c r="AZ57" i="46"/>
  <c r="AA57" i="46"/>
  <c r="AI58" i="46"/>
  <c r="AA58" i="46"/>
  <c r="AI59" i="46"/>
  <c r="AA59" i="46"/>
  <c r="AB59" i="46"/>
  <c r="BF59" i="46" s="1"/>
  <c r="BE59" i="46"/>
  <c r="AI60" i="46"/>
  <c r="AU60" i="46"/>
  <c r="AA60" i="46"/>
  <c r="AI61" i="46"/>
  <c r="AR61" i="46"/>
  <c r="AA61" i="46"/>
  <c r="AI62" i="46"/>
  <c r="AA62" i="46"/>
  <c r="AI63" i="46"/>
  <c r="AA63" i="46"/>
  <c r="AI67" i="46"/>
  <c r="AX67" i="46"/>
  <c r="AA67" i="46"/>
  <c r="AI68" i="46"/>
  <c r="AJ68" i="46"/>
  <c r="AA68" i="46"/>
  <c r="AI69" i="46"/>
  <c r="AQ69" i="46"/>
  <c r="AA69" i="46"/>
  <c r="AI70" i="46"/>
  <c r="AA70" i="46"/>
  <c r="AI71" i="46"/>
  <c r="AJ71" i="46" s="1"/>
  <c r="AA71" i="46"/>
  <c r="AI72" i="46"/>
  <c r="AZ72" i="46"/>
  <c r="AA72" i="46"/>
  <c r="AB72" i="46" s="1"/>
  <c r="AI73" i="46"/>
  <c r="AY73" i="46"/>
  <c r="AA73" i="46"/>
  <c r="AI74" i="46"/>
  <c r="AR74" i="46"/>
  <c r="AA74" i="46"/>
  <c r="AB74" i="46" s="1"/>
  <c r="BF74" i="46" s="1"/>
  <c r="AI75" i="46"/>
  <c r="AV75" i="46"/>
  <c r="AA75" i="46"/>
  <c r="AB75" i="46" s="1"/>
  <c r="BF75" i="46" s="1"/>
  <c r="AI79" i="46"/>
  <c r="AV79" i="46"/>
  <c r="AA79" i="46"/>
  <c r="AB79" i="46" s="1"/>
  <c r="BF79" i="46" s="1"/>
  <c r="AI80" i="46"/>
  <c r="AZ80" i="46"/>
  <c r="AA80" i="46"/>
  <c r="AI81" i="46"/>
  <c r="AU81" i="46"/>
  <c r="AA81" i="46"/>
  <c r="AI82" i="46"/>
  <c r="AX82" i="46"/>
  <c r="AA82" i="46"/>
  <c r="AI83" i="46"/>
  <c r="AX83" i="46"/>
  <c r="AU83" i="46"/>
  <c r="AA83" i="46"/>
  <c r="AI84" i="46"/>
  <c r="AS84" i="46"/>
  <c r="AX84" i="46"/>
  <c r="AA84" i="46"/>
  <c r="AI85" i="46"/>
  <c r="AX85" i="46"/>
  <c r="AA85" i="46"/>
  <c r="AI86" i="46"/>
  <c r="AQ86" i="46"/>
  <c r="AA86" i="46"/>
  <c r="BE86" i="46"/>
  <c r="AI87" i="46"/>
  <c r="AA87" i="46"/>
  <c r="H3" i="46"/>
  <c r="U3" i="46"/>
  <c r="AG3" i="46"/>
  <c r="AV3" i="46"/>
  <c r="BF3" i="46"/>
  <c r="AA91" i="46"/>
  <c r="AI91" i="46"/>
  <c r="AR91" i="46"/>
  <c r="AW91" i="46"/>
  <c r="AI92" i="46"/>
  <c r="AU92" i="46"/>
  <c r="AA92" i="46"/>
  <c r="AI93" i="46"/>
  <c r="AY93" i="46"/>
  <c r="AA93" i="46"/>
  <c r="BE93" i="46" s="1"/>
  <c r="AI94" i="46"/>
  <c r="AX94" i="46"/>
  <c r="AU94" i="46"/>
  <c r="AA94" i="46"/>
  <c r="AI95" i="46"/>
  <c r="AQ95" i="46"/>
  <c r="AW95" i="46"/>
  <c r="AA95" i="46"/>
  <c r="AI96" i="46"/>
  <c r="AY96" i="46"/>
  <c r="AA96" i="46"/>
  <c r="AB96" i="46" s="1"/>
  <c r="AI97" i="46"/>
  <c r="AR97" i="46"/>
  <c r="AA97" i="46"/>
  <c r="AB97" i="46" s="1"/>
  <c r="BF97" i="46" s="1"/>
  <c r="AI98" i="46"/>
  <c r="AZ98" i="46"/>
  <c r="AA98" i="46"/>
  <c r="AI99" i="46"/>
  <c r="AZ99" i="46"/>
  <c r="AA99" i="46"/>
  <c r="V32" i="46"/>
  <c r="U38" i="46"/>
  <c r="V56" i="46"/>
  <c r="U61" i="46"/>
  <c r="AI7" i="12"/>
  <c r="AR7" i="12"/>
  <c r="AK7" i="12"/>
  <c r="AJ7" i="12"/>
  <c r="AQ7" i="12"/>
  <c r="AN7" i="12"/>
  <c r="AM7" i="12"/>
  <c r="AG7" i="12"/>
  <c r="AH7" i="12"/>
  <c r="AS7" i="12"/>
  <c r="AT7" i="12"/>
  <c r="AI8" i="12"/>
  <c r="AR8" i="12"/>
  <c r="AK8" i="12"/>
  <c r="AJ8" i="12"/>
  <c r="AQ8" i="12"/>
  <c r="AN8" i="12"/>
  <c r="AM8" i="12"/>
  <c r="AH8" i="12"/>
  <c r="AS8" i="12"/>
  <c r="AT8" i="12"/>
  <c r="AI9" i="12"/>
  <c r="AR9" i="12"/>
  <c r="AK9" i="12"/>
  <c r="AJ9" i="12"/>
  <c r="AQ9" i="12"/>
  <c r="AN9" i="12"/>
  <c r="AM9" i="12"/>
  <c r="AH9" i="12"/>
  <c r="AS9" i="12"/>
  <c r="AT9" i="12"/>
  <c r="AI10" i="12"/>
  <c r="AR10" i="12"/>
  <c r="AK10" i="12"/>
  <c r="AJ10" i="12"/>
  <c r="AQ10" i="12"/>
  <c r="AN10" i="12"/>
  <c r="AM10" i="12"/>
  <c r="AH10" i="12"/>
  <c r="AS10" i="12"/>
  <c r="AT10" i="12"/>
  <c r="AI14" i="12"/>
  <c r="AR14" i="12"/>
  <c r="AK14" i="12"/>
  <c r="AJ14" i="12"/>
  <c r="AQ14" i="12"/>
  <c r="AN14" i="12"/>
  <c r="AM14" i="12"/>
  <c r="AS14" i="12"/>
  <c r="AI15" i="12"/>
  <c r="AK15" i="12"/>
  <c r="AJ15" i="12"/>
  <c r="AN15" i="12"/>
  <c r="AM15" i="12"/>
  <c r="AS15" i="12"/>
  <c r="AI16" i="12"/>
  <c r="AK16" i="12"/>
  <c r="AJ16" i="12"/>
  <c r="AQ16" i="12"/>
  <c r="AN16" i="12"/>
  <c r="AM16" i="12"/>
  <c r="AS16" i="12"/>
  <c r="AI17" i="12"/>
  <c r="AK17" i="12"/>
  <c r="AJ17" i="12"/>
  <c r="AQ17" i="12"/>
  <c r="AN17" i="12"/>
  <c r="AM17" i="12"/>
  <c r="AS17" i="12"/>
  <c r="AI21" i="12"/>
  <c r="AR21" i="12"/>
  <c r="AK21" i="12"/>
  <c r="AJ21" i="12"/>
  <c r="AQ21" i="12"/>
  <c r="AN21" i="12"/>
  <c r="AM21" i="12"/>
  <c r="AH21" i="12"/>
  <c r="AS21" i="12"/>
  <c r="AT21" i="12"/>
  <c r="AI22" i="12"/>
  <c r="AR22" i="12"/>
  <c r="AK22" i="12"/>
  <c r="AJ22" i="12"/>
  <c r="AQ22" i="12"/>
  <c r="AN22" i="12"/>
  <c r="AM22" i="12"/>
  <c r="AG22" i="12"/>
  <c r="AH22" i="12"/>
  <c r="AS22" i="12"/>
  <c r="AT22" i="12"/>
  <c r="AI23" i="12"/>
  <c r="AK23" i="12"/>
  <c r="AJ23" i="12"/>
  <c r="AQ23" i="12"/>
  <c r="AN23" i="12"/>
  <c r="AM23" i="12"/>
  <c r="AS23" i="12"/>
  <c r="AT23" i="12"/>
  <c r="AI24" i="12"/>
  <c r="AK24" i="12"/>
  <c r="AJ24" i="12"/>
  <c r="AQ24" i="12"/>
  <c r="AN24" i="12"/>
  <c r="AM24" i="12"/>
  <c r="AS24" i="12"/>
  <c r="AI28" i="12"/>
  <c r="AR28" i="12"/>
  <c r="AK28" i="12"/>
  <c r="AJ28" i="12"/>
  <c r="AQ28" i="12"/>
  <c r="AN28" i="12"/>
  <c r="AM28" i="12"/>
  <c r="AG28" i="12"/>
  <c r="AH28" i="12"/>
  <c r="AS28" i="12"/>
  <c r="AT28" i="12"/>
  <c r="AI29" i="12"/>
  <c r="AR29" i="12"/>
  <c r="AK29" i="12"/>
  <c r="AJ29" i="12"/>
  <c r="AQ29" i="12"/>
  <c r="AN29" i="12"/>
  <c r="AM29" i="12"/>
  <c r="AG29" i="12"/>
  <c r="AH29" i="12"/>
  <c r="AS29" i="12"/>
  <c r="AT29" i="12"/>
  <c r="AI30" i="12"/>
  <c r="AR30" i="12"/>
  <c r="AK30" i="12"/>
  <c r="AJ30" i="12"/>
  <c r="AQ30" i="12"/>
  <c r="AN30" i="12"/>
  <c r="AM30" i="12"/>
  <c r="AG30" i="12"/>
  <c r="AH30" i="12"/>
  <c r="AS30" i="12"/>
  <c r="AT30" i="12"/>
  <c r="AI31" i="12"/>
  <c r="AR31" i="12"/>
  <c r="AK31" i="12"/>
  <c r="AJ31" i="12"/>
  <c r="AQ31" i="12"/>
  <c r="AN31" i="12"/>
  <c r="AM31" i="12"/>
  <c r="AG31" i="12"/>
  <c r="AS31" i="12"/>
  <c r="AT31" i="12"/>
  <c r="AT3" i="12"/>
  <c r="AS3" i="12"/>
  <c r="AR3" i="12"/>
  <c r="AQ3" i="12"/>
  <c r="AP3" i="12"/>
  <c r="AO3" i="12"/>
  <c r="AL3" i="12"/>
  <c r="AI3" i="12"/>
  <c r="AH3" i="12"/>
  <c r="AG3" i="12"/>
  <c r="AK3" i="12"/>
  <c r="E3" i="12"/>
  <c r="F3" i="12"/>
  <c r="G3" i="12"/>
  <c r="H3" i="12"/>
  <c r="I3" i="12"/>
  <c r="J3" i="12"/>
  <c r="K3" i="12"/>
  <c r="L3" i="12"/>
  <c r="M3" i="12"/>
  <c r="N3" i="12"/>
  <c r="P3" i="12"/>
  <c r="Q3" i="12"/>
  <c r="S3" i="12"/>
  <c r="T3" i="12"/>
  <c r="V3" i="12"/>
  <c r="W3" i="12"/>
  <c r="Y3" i="12"/>
  <c r="Z3" i="12"/>
  <c r="AB3" i="12"/>
  <c r="AC3" i="12"/>
  <c r="AE3" i="12"/>
  <c r="AF3" i="12"/>
  <c r="AJ3" i="12"/>
  <c r="AM3" i="12"/>
  <c r="AN3" i="12"/>
  <c r="AG15" i="12"/>
  <c r="AQ15" i="12"/>
  <c r="AT14" i="12"/>
  <c r="B2" i="25"/>
  <c r="AO3" i="25"/>
  <c r="P7" i="25"/>
  <c r="L3" i="25"/>
  <c r="P8" i="25"/>
  <c r="AQ8" i="25" s="1"/>
  <c r="Y43" i="25"/>
  <c r="Y42" i="25"/>
  <c r="Y38" i="25"/>
  <c r="Y37" i="25"/>
  <c r="Y28" i="25"/>
  <c r="Y27" i="25"/>
  <c r="Y23" i="25"/>
  <c r="AS23" i="25" s="1"/>
  <c r="Y22" i="25"/>
  <c r="AS22" i="25" s="1"/>
  <c r="Y18" i="25"/>
  <c r="Y17" i="25"/>
  <c r="AS17" i="25" s="1"/>
  <c r="Y13" i="25"/>
  <c r="Y12" i="25"/>
  <c r="Y8" i="25"/>
  <c r="Y7" i="25"/>
  <c r="Y33" i="25"/>
  <c r="AS33" i="25" s="1"/>
  <c r="Y32" i="25"/>
  <c r="P12" i="25"/>
  <c r="P13" i="25"/>
  <c r="AQ13" i="25" s="1"/>
  <c r="P17" i="25"/>
  <c r="P18" i="25"/>
  <c r="P22" i="25"/>
  <c r="P23" i="25"/>
  <c r="AQ23" i="25" s="1"/>
  <c r="P27" i="25"/>
  <c r="P28" i="25"/>
  <c r="AQ28" i="25"/>
  <c r="P32" i="25"/>
  <c r="P33" i="25"/>
  <c r="P37" i="25"/>
  <c r="P38" i="25"/>
  <c r="AQ38" i="25" s="1"/>
  <c r="P42" i="25"/>
  <c r="P43" i="25"/>
  <c r="AS32" i="25"/>
  <c r="AK32" i="25"/>
  <c r="AS18" i="25"/>
  <c r="AS8" i="25"/>
  <c r="AI27" i="25"/>
  <c r="AI22" i="25"/>
  <c r="AK42" i="25"/>
  <c r="AK37" i="25"/>
  <c r="AK13" i="25"/>
  <c r="AJ7" i="25"/>
  <c r="AA5" i="25"/>
  <c r="AB5" i="25"/>
  <c r="AJ8" i="25"/>
  <c r="AJ13" i="25"/>
  <c r="AN13" i="25"/>
  <c r="AN18" i="25"/>
  <c r="AJ22" i="25"/>
  <c r="AJ27" i="25"/>
  <c r="AJ28" i="25"/>
  <c r="AQ37" i="25"/>
  <c r="AM38" i="25"/>
  <c r="AJ42" i="25"/>
  <c r="AM43" i="25"/>
  <c r="L64" i="25"/>
  <c r="L65" i="25"/>
  <c r="L66" i="25"/>
  <c r="L67" i="25"/>
  <c r="L68" i="25"/>
  <c r="L69" i="25"/>
  <c r="L70" i="25"/>
  <c r="L63" i="25"/>
  <c r="AL7" i="18"/>
  <c r="AR7" i="18"/>
  <c r="AS7" i="18"/>
  <c r="AQ7" i="18"/>
  <c r="AP7" i="18"/>
  <c r="AY7" i="18"/>
  <c r="W5" i="18"/>
  <c r="V5" i="18"/>
  <c r="AN8" i="18"/>
  <c r="AM8" i="18"/>
  <c r="AT8" i="18"/>
  <c r="AU8" i="18"/>
  <c r="AO8" i="18"/>
  <c r="AX8" i="18"/>
  <c r="AM12" i="18"/>
  <c r="AR12" i="18"/>
  <c r="AU12" i="18"/>
  <c r="AQ12" i="18"/>
  <c r="AX12" i="18"/>
  <c r="V10" i="18"/>
  <c r="AN13" i="18"/>
  <c r="AM13" i="18"/>
  <c r="AT13" i="18"/>
  <c r="AU13" i="18"/>
  <c r="AO13" i="18"/>
  <c r="AN17" i="18"/>
  <c r="AM17" i="18"/>
  <c r="AT17" i="18"/>
  <c r="AU17" i="18"/>
  <c r="AO17" i="18"/>
  <c r="AN18" i="18"/>
  <c r="AM18" i="18"/>
  <c r="AR18" i="18"/>
  <c r="AT18" i="18"/>
  <c r="AU18" i="18"/>
  <c r="AQ18" i="18"/>
  <c r="AO18" i="18"/>
  <c r="AX18" i="18"/>
  <c r="AN22" i="18"/>
  <c r="AM22" i="18"/>
  <c r="AR22" i="18"/>
  <c r="AT22" i="18"/>
  <c r="AU22" i="18"/>
  <c r="AQ22" i="18"/>
  <c r="AO22" i="18"/>
  <c r="AX22" i="18"/>
  <c r="AY22" i="18"/>
  <c r="AN23" i="18"/>
  <c r="AM23" i="18"/>
  <c r="AR23" i="18"/>
  <c r="AT23" i="18"/>
  <c r="AU23" i="18"/>
  <c r="AQ23" i="18"/>
  <c r="AO23" i="18"/>
  <c r="AX23" i="18"/>
  <c r="AL27" i="18"/>
  <c r="AM27" i="18"/>
  <c r="AR27" i="18"/>
  <c r="AS27" i="18"/>
  <c r="AU27" i="18"/>
  <c r="AQ27" i="18"/>
  <c r="AP27" i="18"/>
  <c r="AX27" i="18"/>
  <c r="AY27" i="18"/>
  <c r="AL28" i="18"/>
  <c r="AM28" i="18"/>
  <c r="AR28" i="18"/>
  <c r="AS28" i="18"/>
  <c r="AT28" i="18"/>
  <c r="AU28" i="18"/>
  <c r="AQ28" i="18"/>
  <c r="AP28" i="18"/>
  <c r="AO28" i="18"/>
  <c r="AX28" i="18"/>
  <c r="AL32" i="18"/>
  <c r="AN32" i="18"/>
  <c r="AM32" i="18"/>
  <c r="AR32" i="18"/>
  <c r="AS32" i="18"/>
  <c r="AT32" i="18"/>
  <c r="AU32" i="18"/>
  <c r="AQ32" i="18"/>
  <c r="AP32" i="18"/>
  <c r="AO32" i="18"/>
  <c r="AX32" i="18"/>
  <c r="AL33" i="18"/>
  <c r="AN33" i="18"/>
  <c r="AM33" i="18"/>
  <c r="AR33" i="18"/>
  <c r="AS33" i="18"/>
  <c r="AT33" i="18"/>
  <c r="AU33" i="18"/>
  <c r="AQ33" i="18"/>
  <c r="AP33" i="18"/>
  <c r="AO33" i="18"/>
  <c r="AJ33" i="18"/>
  <c r="AX33" i="18"/>
  <c r="AL37" i="18"/>
  <c r="AN37" i="18"/>
  <c r="AM37" i="18"/>
  <c r="AR37" i="18"/>
  <c r="AS37" i="18"/>
  <c r="AT37" i="18"/>
  <c r="AU37" i="18"/>
  <c r="AQ37" i="18"/>
  <c r="AP37" i="18"/>
  <c r="AO37" i="18"/>
  <c r="AL38" i="18"/>
  <c r="AN38" i="18"/>
  <c r="AM38" i="18"/>
  <c r="AR38" i="18"/>
  <c r="AS38" i="18"/>
  <c r="AT38" i="18"/>
  <c r="AU38" i="18"/>
  <c r="AQ38" i="18"/>
  <c r="AP38" i="18"/>
  <c r="AO38" i="18"/>
  <c r="AX38" i="18"/>
  <c r="AY38" i="18"/>
  <c r="AL42" i="18"/>
  <c r="AN42" i="18"/>
  <c r="AM42" i="18"/>
  <c r="AR42" i="18"/>
  <c r="AS42" i="18"/>
  <c r="AT42" i="18"/>
  <c r="AU42" i="18"/>
  <c r="AQ42" i="18"/>
  <c r="AP42" i="18"/>
  <c r="AO42" i="18"/>
  <c r="AX42" i="18"/>
  <c r="AL43" i="18"/>
  <c r="AN43" i="18"/>
  <c r="AM43" i="18"/>
  <c r="AR43" i="18"/>
  <c r="AS43" i="18"/>
  <c r="AT43" i="18"/>
  <c r="AU43" i="18"/>
  <c r="AQ43" i="18"/>
  <c r="AP43" i="18"/>
  <c r="AO43" i="18"/>
  <c r="AX43" i="18"/>
  <c r="AR3" i="18"/>
  <c r="AO3" i="18"/>
  <c r="AY3" i="18"/>
  <c r="AX3" i="18"/>
  <c r="AN3" i="18"/>
  <c r="AL3" i="18"/>
  <c r="AJ3" i="18"/>
  <c r="AW3" i="18"/>
  <c r="AV3" i="18"/>
  <c r="U3" i="18"/>
  <c r="AC3" i="18"/>
  <c r="AT3" i="18"/>
  <c r="AS3" i="18"/>
  <c r="V3" i="18"/>
  <c r="AK3" i="18"/>
  <c r="AH3" i="18"/>
  <c r="AG3" i="18"/>
  <c r="AE3" i="18"/>
  <c r="AD3" i="18"/>
  <c r="Z3" i="18"/>
  <c r="Y3" i="18"/>
  <c r="W3" i="18"/>
  <c r="AB3" i="18"/>
  <c r="T3" i="18"/>
  <c r="E3" i="18"/>
  <c r="F3" i="18"/>
  <c r="G3" i="18"/>
  <c r="H3" i="18"/>
  <c r="I3" i="18"/>
  <c r="J3" i="18"/>
  <c r="K3" i="18"/>
  <c r="L3" i="18"/>
  <c r="M3" i="18"/>
  <c r="N3" i="18"/>
  <c r="O3" i="18"/>
  <c r="P3" i="18"/>
  <c r="Q3" i="18"/>
  <c r="AM3" i="18"/>
  <c r="AP3" i="18"/>
  <c r="AQ3" i="18"/>
  <c r="AU3" i="18"/>
  <c r="W10" i="18"/>
  <c r="AE10" i="45"/>
  <c r="AF13" i="45" s="1"/>
  <c r="AF10" i="45"/>
  <c r="AE5" i="45"/>
  <c r="AF8" i="45" s="1"/>
  <c r="AE8" i="45"/>
  <c r="AF5" i="45"/>
  <c r="AV7" i="45"/>
  <c r="AX7" i="45"/>
  <c r="AW7" i="45"/>
  <c r="BH7" i="45"/>
  <c r="BB7" i="45"/>
  <c r="BC7" i="45"/>
  <c r="BD7" i="45"/>
  <c r="BE7" i="45"/>
  <c r="BA7" i="45"/>
  <c r="AZ7" i="45"/>
  <c r="BJ7" i="45"/>
  <c r="BK7" i="45"/>
  <c r="AV8" i="45"/>
  <c r="AX8" i="45"/>
  <c r="AW8" i="45"/>
  <c r="BB8" i="45"/>
  <c r="BC8" i="45"/>
  <c r="BD8" i="45"/>
  <c r="BE8" i="45"/>
  <c r="BA8" i="45"/>
  <c r="AZ8" i="45"/>
  <c r="BJ8" i="45"/>
  <c r="AV12" i="45"/>
  <c r="AX12" i="45"/>
  <c r="AW12" i="45"/>
  <c r="BH12" i="45"/>
  <c r="BB12" i="45"/>
  <c r="BC12" i="45"/>
  <c r="BD12" i="45"/>
  <c r="BE12" i="45"/>
  <c r="BA12" i="45"/>
  <c r="AZ12" i="45"/>
  <c r="BJ12" i="45"/>
  <c r="BK12" i="45"/>
  <c r="AV13" i="45"/>
  <c r="BI13" i="45"/>
  <c r="AX13" i="45"/>
  <c r="AW13" i="45"/>
  <c r="BH13" i="45"/>
  <c r="BB13" i="45"/>
  <c r="BC13" i="45"/>
  <c r="BD13" i="45"/>
  <c r="BE13" i="45"/>
  <c r="BA13" i="45"/>
  <c r="AZ13" i="45"/>
  <c r="BJ13" i="45"/>
  <c r="AV17" i="45"/>
  <c r="BI17" i="45"/>
  <c r="AX17" i="45"/>
  <c r="AW17" i="45"/>
  <c r="BH17" i="45"/>
  <c r="BB17" i="45"/>
  <c r="BC17" i="45"/>
  <c r="BD17" i="45"/>
  <c r="BE17" i="45"/>
  <c r="BA17" i="45"/>
  <c r="AZ17" i="45"/>
  <c r="BJ17" i="45"/>
  <c r="AV18" i="45"/>
  <c r="AX18" i="45"/>
  <c r="AW18" i="45"/>
  <c r="BH18" i="45"/>
  <c r="BB18" i="45"/>
  <c r="BC18" i="45"/>
  <c r="BD18" i="45"/>
  <c r="BE18" i="45"/>
  <c r="BA18" i="45"/>
  <c r="AZ18" i="45"/>
  <c r="BJ18" i="45"/>
  <c r="AV22" i="45"/>
  <c r="AX22" i="45"/>
  <c r="AW22" i="45"/>
  <c r="BH22" i="45"/>
  <c r="BB22" i="45"/>
  <c r="BC22" i="45"/>
  <c r="BD22" i="45"/>
  <c r="BE22" i="45"/>
  <c r="BA22" i="45"/>
  <c r="AZ22" i="45"/>
  <c r="BJ22" i="45"/>
  <c r="BK22" i="45"/>
  <c r="AV23" i="45"/>
  <c r="BI23" i="45"/>
  <c r="AX23" i="45"/>
  <c r="AW23" i="45"/>
  <c r="BH23" i="45"/>
  <c r="BB23" i="45"/>
  <c r="BC23" i="45"/>
  <c r="BD23" i="45"/>
  <c r="BE23" i="45"/>
  <c r="BA23" i="45"/>
  <c r="AZ23" i="45"/>
  <c r="BJ23" i="45"/>
  <c r="AV27" i="45"/>
  <c r="BI27" i="45"/>
  <c r="AX27" i="45"/>
  <c r="AW27" i="45"/>
  <c r="BH27" i="45"/>
  <c r="BB27" i="45"/>
  <c r="BC27" i="45"/>
  <c r="BD27" i="45"/>
  <c r="BE27" i="45"/>
  <c r="BA27" i="45"/>
  <c r="AZ27" i="45"/>
  <c r="BJ27" i="45"/>
  <c r="AV28" i="45"/>
  <c r="AX28" i="45"/>
  <c r="AW28" i="45"/>
  <c r="BH28" i="45"/>
  <c r="BB28" i="45"/>
  <c r="BC28" i="45"/>
  <c r="BD28" i="45"/>
  <c r="BE28" i="45"/>
  <c r="BA28" i="45"/>
  <c r="AZ28" i="45"/>
  <c r="AV32" i="45"/>
  <c r="AX32" i="45"/>
  <c r="AW32" i="45"/>
  <c r="BH32" i="45"/>
  <c r="BB32" i="45"/>
  <c r="BC32" i="45"/>
  <c r="BD32" i="45"/>
  <c r="BE32" i="45"/>
  <c r="BA32" i="45"/>
  <c r="AZ32" i="45"/>
  <c r="AV33" i="45"/>
  <c r="AX33" i="45"/>
  <c r="AW33" i="45"/>
  <c r="BH33" i="45"/>
  <c r="BB33" i="45"/>
  <c r="BC33" i="45"/>
  <c r="BD33" i="45"/>
  <c r="BE33" i="45"/>
  <c r="BA33" i="45"/>
  <c r="AZ33" i="45"/>
  <c r="BJ33" i="45"/>
  <c r="AV37" i="45"/>
  <c r="AX37" i="45"/>
  <c r="AW37" i="45"/>
  <c r="BH37" i="45"/>
  <c r="BB37" i="45"/>
  <c r="BC37" i="45"/>
  <c r="BD37" i="45"/>
  <c r="BE37" i="45"/>
  <c r="BA37" i="45"/>
  <c r="AZ37" i="45"/>
  <c r="BJ37" i="45"/>
  <c r="AV38" i="45"/>
  <c r="AX38" i="45"/>
  <c r="AW38" i="45"/>
  <c r="BH38" i="45"/>
  <c r="BB38" i="45"/>
  <c r="BC38" i="45"/>
  <c r="BD38" i="45"/>
  <c r="BE38" i="45"/>
  <c r="BA38" i="45"/>
  <c r="AZ38" i="45"/>
  <c r="BJ38" i="45"/>
  <c r="AV42" i="45"/>
  <c r="AX42" i="45"/>
  <c r="AW42" i="45"/>
  <c r="BH42" i="45"/>
  <c r="BB42" i="45"/>
  <c r="BC42" i="45"/>
  <c r="BD42" i="45"/>
  <c r="BE42" i="45"/>
  <c r="BA42" i="45"/>
  <c r="AZ42" i="45"/>
  <c r="BJ42" i="45"/>
  <c r="AV43" i="45"/>
  <c r="BI43" i="45"/>
  <c r="AX43" i="45"/>
  <c r="AW43" i="45"/>
  <c r="BH43" i="45"/>
  <c r="BB43" i="45"/>
  <c r="BC43" i="45"/>
  <c r="BD43" i="45"/>
  <c r="BE43" i="45"/>
  <c r="BA43" i="45"/>
  <c r="AZ43" i="45"/>
  <c r="BJ43" i="45"/>
  <c r="E3" i="45"/>
  <c r="F3" i="45"/>
  <c r="G3" i="45"/>
  <c r="H3" i="45"/>
  <c r="I3" i="45"/>
  <c r="J3" i="45"/>
  <c r="K3" i="45"/>
  <c r="L3" i="45"/>
  <c r="M3" i="45"/>
  <c r="N3" i="45"/>
  <c r="O3" i="45"/>
  <c r="P3" i="45"/>
  <c r="Q3" i="45"/>
  <c r="S3" i="45"/>
  <c r="U3" i="45"/>
  <c r="W3" i="45"/>
  <c r="X3" i="45"/>
  <c r="Z3" i="45"/>
  <c r="AA3" i="45"/>
  <c r="AC3" i="45"/>
  <c r="AD3" i="45"/>
  <c r="AE3" i="45"/>
  <c r="AF3" i="45"/>
  <c r="AH3" i="45"/>
  <c r="AI3" i="45"/>
  <c r="AK3" i="45"/>
  <c r="AL3" i="45"/>
  <c r="AM3" i="45"/>
  <c r="AN3" i="45"/>
  <c r="AP3" i="45"/>
  <c r="AQ3" i="45"/>
  <c r="AS3" i="45"/>
  <c r="AT3" i="45"/>
  <c r="AU3" i="45"/>
  <c r="AV3" i="45"/>
  <c r="AW3" i="45"/>
  <c r="AX3" i="45"/>
  <c r="AY3" i="45"/>
  <c r="AZ3" i="45"/>
  <c r="BA3" i="45"/>
  <c r="BB3" i="45"/>
  <c r="BC3" i="45"/>
  <c r="BD3" i="45"/>
  <c r="BE3" i="45"/>
  <c r="BF3" i="45"/>
  <c r="BG3" i="45"/>
  <c r="BH3" i="45"/>
  <c r="BI3" i="45"/>
  <c r="BJ3" i="45"/>
  <c r="BK3" i="45"/>
  <c r="AE7" i="45"/>
  <c r="G9" i="66"/>
  <c r="G5" i="66"/>
  <c r="G6" i="66"/>
  <c r="G4" i="66"/>
  <c r="G32" i="78"/>
  <c r="G29" i="78"/>
  <c r="G28" i="78"/>
  <c r="G27" i="78"/>
  <c r="G26" i="78"/>
  <c r="G25" i="78"/>
  <c r="G24" i="78"/>
  <c r="G18" i="78"/>
  <c r="G7" i="78"/>
  <c r="G30" i="78"/>
  <c r="G6" i="78"/>
  <c r="G8" i="78"/>
  <c r="G4" i="78"/>
  <c r="G5" i="78"/>
  <c r="G9" i="68"/>
  <c r="G7" i="68"/>
  <c r="G4" i="68"/>
  <c r="G4" i="57"/>
  <c r="G11" i="57"/>
  <c r="G21" i="57"/>
  <c r="G19" i="57"/>
  <c r="G17" i="57"/>
  <c r="G15" i="57"/>
  <c r="G13" i="57"/>
  <c r="G9" i="57"/>
  <c r="G7" i="57"/>
  <c r="G20" i="57"/>
  <c r="G18" i="57"/>
  <c r="G16" i="57"/>
  <c r="G14" i="57"/>
  <c r="G5" i="57"/>
  <c r="G22" i="57"/>
  <c r="G19" i="67"/>
  <c r="G17" i="67"/>
  <c r="G13" i="67"/>
  <c r="G7" i="67"/>
  <c r="G5" i="67"/>
  <c r="G9" i="67"/>
  <c r="G11" i="67"/>
  <c r="G7" i="71"/>
  <c r="G9" i="71"/>
  <c r="G4" i="71"/>
  <c r="G5" i="71"/>
  <c r="G7" i="66"/>
  <c r="BF31" i="46"/>
  <c r="AC98" i="46"/>
  <c r="AC97" i="46"/>
  <c r="AC96" i="46"/>
  <c r="AC95" i="46"/>
  <c r="AC94" i="46"/>
  <c r="AC93" i="46"/>
  <c r="AC92" i="46"/>
  <c r="AC91" i="46"/>
  <c r="AC83" i="19"/>
  <c r="AF83" i="19" s="1"/>
  <c r="AU12" i="19"/>
  <c r="AU8" i="19"/>
  <c r="AU50" i="19"/>
  <c r="AU48" i="19"/>
  <c r="AU46" i="19"/>
  <c r="AU62" i="19"/>
  <c r="AU58" i="19"/>
  <c r="U55" i="19"/>
  <c r="X55" i="19" s="1"/>
  <c r="V55" i="19"/>
  <c r="Y55" i="19" s="1"/>
  <c r="U56" i="19"/>
  <c r="X56" i="19" s="1"/>
  <c r="V56" i="19"/>
  <c r="Y56" i="19" s="1"/>
  <c r="U57" i="19"/>
  <c r="X57" i="19" s="1"/>
  <c r="V57" i="19"/>
  <c r="Y57" i="19" s="1"/>
  <c r="U58" i="19"/>
  <c r="X58" i="19" s="1"/>
  <c r="V58" i="19"/>
  <c r="Y58" i="19" s="1"/>
  <c r="U59" i="19"/>
  <c r="X59" i="19"/>
  <c r="V59" i="19"/>
  <c r="Y59" i="19" s="1"/>
  <c r="U60" i="19"/>
  <c r="X60" i="19"/>
  <c r="V60" i="19"/>
  <c r="Y60" i="19" s="1"/>
  <c r="U61" i="19"/>
  <c r="V61" i="19"/>
  <c r="Y61" i="19"/>
  <c r="U62" i="19"/>
  <c r="X62" i="19" s="1"/>
  <c r="V62" i="19"/>
  <c r="Y62" i="19" s="1"/>
  <c r="U63" i="19"/>
  <c r="X63" i="19" s="1"/>
  <c r="V63" i="19"/>
  <c r="Y63" i="19" s="1"/>
  <c r="AP9" i="29"/>
  <c r="AP20" i="29"/>
  <c r="AR7" i="29"/>
  <c r="AR11" i="29"/>
  <c r="AR15" i="29"/>
  <c r="AR27" i="29"/>
  <c r="AR32" i="29"/>
  <c r="AR38" i="29"/>
  <c r="G6" i="57"/>
  <c r="G5" i="68"/>
  <c r="AU82" i="19"/>
  <c r="AU84" i="19"/>
  <c r="AU87" i="19"/>
  <c r="AU14" i="19"/>
  <c r="AU37" i="19"/>
  <c r="AU33" i="19"/>
  <c r="AU31" i="19"/>
  <c r="AU49" i="19"/>
  <c r="AU47" i="19"/>
  <c r="AU60" i="19"/>
  <c r="AU56" i="19"/>
  <c r="AP10" i="29"/>
  <c r="AP21" i="29"/>
  <c r="AP32" i="29"/>
  <c r="AP43" i="29"/>
  <c r="AP47" i="29"/>
  <c r="AP58" i="29"/>
  <c r="AP73" i="29"/>
  <c r="AP84" i="29"/>
  <c r="AR10" i="29"/>
  <c r="W12" i="18"/>
  <c r="V12" i="18"/>
  <c r="G3" i="25"/>
  <c r="I3" i="25"/>
  <c r="K3" i="25"/>
  <c r="P3" i="25"/>
  <c r="Q3" i="25"/>
  <c r="T3" i="25"/>
  <c r="Z3" i="25"/>
  <c r="AB3" i="25"/>
  <c r="AE3" i="25"/>
  <c r="AJ3" i="25"/>
  <c r="AL3" i="25"/>
  <c r="AN3" i="25"/>
  <c r="AR3" i="25"/>
  <c r="V32" i="13"/>
  <c r="W32" i="13"/>
  <c r="V34" i="13"/>
  <c r="Y34" i="13" s="1"/>
  <c r="W34" i="13"/>
  <c r="Z34" i="13"/>
  <c r="V36" i="13"/>
  <c r="W36" i="13"/>
  <c r="V38" i="13"/>
  <c r="Y38" i="13" s="1"/>
  <c r="W38" i="13"/>
  <c r="Z38" i="13" s="1"/>
  <c r="V31" i="13"/>
  <c r="W31" i="13"/>
  <c r="V33" i="13"/>
  <c r="Y33" i="13" s="1"/>
  <c r="W33" i="13"/>
  <c r="Z33" i="13" s="1"/>
  <c r="V35" i="13"/>
  <c r="Y35" i="13" s="1"/>
  <c r="W35" i="13"/>
  <c r="Z35" i="13" s="1"/>
  <c r="V37" i="13"/>
  <c r="Y37" i="13" s="1"/>
  <c r="W37" i="13"/>
  <c r="V39" i="13"/>
  <c r="W39" i="13"/>
  <c r="AP35" i="13"/>
  <c r="AR31" i="13"/>
  <c r="AR39" i="13"/>
  <c r="AP14" i="13"/>
  <c r="AP13" i="13"/>
  <c r="AP10" i="13"/>
  <c r="AP9" i="13"/>
  <c r="AR25" i="13"/>
  <c r="AR21" i="13"/>
  <c r="AC25" i="13"/>
  <c r="AF25" i="13" s="1"/>
  <c r="AB19" i="13"/>
  <c r="AE19" i="13" s="1"/>
  <c r="AB21" i="13"/>
  <c r="AE21" i="13" s="1"/>
  <c r="AC23" i="13"/>
  <c r="AF23" i="13" s="1"/>
  <c r="AC27" i="13"/>
  <c r="AF27" i="13" s="1"/>
  <c r="AC20" i="13"/>
  <c r="AF20" i="13" s="1"/>
  <c r="AC22" i="13"/>
  <c r="AC24" i="13"/>
  <c r="AF24" i="13" s="1"/>
  <c r="AC26" i="13"/>
  <c r="AP62" i="13"/>
  <c r="AP61" i="13"/>
  <c r="AP58" i="13"/>
  <c r="AP57" i="13"/>
  <c r="AR86" i="13"/>
  <c r="AR85" i="13"/>
  <c r="AE85" i="13"/>
  <c r="AC85" i="13"/>
  <c r="AF85" i="13" s="1"/>
  <c r="AC81" i="13"/>
  <c r="AB79" i="13"/>
  <c r="AE79" i="13" s="1"/>
  <c r="AC79" i="13"/>
  <c r="AF79" i="13" s="1"/>
  <c r="AB81" i="13"/>
  <c r="AB83" i="13"/>
  <c r="AE83" i="13" s="1"/>
  <c r="AC83" i="13"/>
  <c r="AF83" i="13" s="1"/>
  <c r="AB85" i="13"/>
  <c r="AB87" i="13"/>
  <c r="AE87" i="13"/>
  <c r="AC87" i="13"/>
  <c r="AF87" i="13" s="1"/>
  <c r="AB80" i="13"/>
  <c r="AE80" i="13" s="1"/>
  <c r="AC80" i="13"/>
  <c r="AF80" i="13" s="1"/>
  <c r="AB82" i="13"/>
  <c r="AC82" i="13"/>
  <c r="AB84" i="13"/>
  <c r="AC84" i="13"/>
  <c r="AB86" i="13"/>
  <c r="AE86" i="13" s="1"/>
  <c r="AC86" i="13"/>
  <c r="AF86" i="13" s="1"/>
  <c r="AP98" i="13"/>
  <c r="AP97" i="13"/>
  <c r="AP95" i="13"/>
  <c r="AP92" i="13"/>
  <c r="AR91" i="13"/>
  <c r="AP91" i="13"/>
  <c r="AP75" i="13"/>
  <c r="AP72" i="13"/>
  <c r="AP71" i="13"/>
  <c r="AP67" i="13"/>
  <c r="AP51" i="13"/>
  <c r="AP48" i="13"/>
  <c r="AR44" i="13"/>
  <c r="AC43" i="38"/>
  <c r="AD43" i="38"/>
  <c r="AR43" i="38"/>
  <c r="AC41" i="38"/>
  <c r="AD41" i="38"/>
  <c r="AR41" i="38"/>
  <c r="X13" i="38"/>
  <c r="S13" i="38"/>
  <c r="O13" i="38"/>
  <c r="R13" i="38"/>
  <c r="AO95" i="19"/>
  <c r="AJ95" i="19"/>
  <c r="AT94" i="19"/>
  <c r="AL94" i="19"/>
  <c r="AQ94" i="19"/>
  <c r="AO94" i="19"/>
  <c r="AJ94" i="19"/>
  <c r="AT92" i="19"/>
  <c r="AL92" i="19"/>
  <c r="AQ92" i="19"/>
  <c r="AO92" i="19"/>
  <c r="AJ92" i="19"/>
  <c r="AT91" i="19"/>
  <c r="AL91" i="19"/>
  <c r="AQ91" i="19"/>
  <c r="AO91" i="19"/>
  <c r="AJ91" i="19"/>
  <c r="AL97" i="19"/>
  <c r="AQ97" i="19"/>
  <c r="AO97" i="19"/>
  <c r="AJ97" i="19"/>
  <c r="AT97" i="19"/>
  <c r="AL96" i="19"/>
  <c r="AQ96" i="19"/>
  <c r="AO96" i="19"/>
  <c r="AJ96" i="19"/>
  <c r="AT96" i="19"/>
  <c r="AL93" i="19"/>
  <c r="AQ93" i="19"/>
  <c r="AO93" i="19"/>
  <c r="AJ93" i="19"/>
  <c r="AT93" i="19"/>
  <c r="AK93" i="19"/>
  <c r="AB32" i="13"/>
  <c r="AE32" i="13" s="1"/>
  <c r="AC32" i="13"/>
  <c r="AF32" i="13" s="1"/>
  <c r="AB34" i="13"/>
  <c r="AC34" i="13"/>
  <c r="AB36" i="13"/>
  <c r="AE36" i="13" s="1"/>
  <c r="AC36" i="13"/>
  <c r="AF36" i="13" s="1"/>
  <c r="AB38" i="13"/>
  <c r="AE38" i="13" s="1"/>
  <c r="AC38" i="13"/>
  <c r="AF38" i="13" s="1"/>
  <c r="AB31" i="13"/>
  <c r="AE31" i="13" s="1"/>
  <c r="AC31" i="13"/>
  <c r="AF31" i="13" s="1"/>
  <c r="AB33" i="13"/>
  <c r="AE33" i="13" s="1"/>
  <c r="AC33" i="13"/>
  <c r="AF33" i="13"/>
  <c r="AB35" i="13"/>
  <c r="AC35" i="13"/>
  <c r="AB37" i="13"/>
  <c r="AE37" i="13" s="1"/>
  <c r="AC37" i="13"/>
  <c r="AF37" i="13" s="1"/>
  <c r="AB39" i="13"/>
  <c r="AE39" i="13" s="1"/>
  <c r="AC39" i="13"/>
  <c r="AF39" i="13" s="1"/>
  <c r="AP33" i="13"/>
  <c r="Z37" i="13"/>
  <c r="AP37" i="13"/>
  <c r="AR33" i="13"/>
  <c r="AR37" i="13"/>
  <c r="AR14" i="13"/>
  <c r="AR13" i="13"/>
  <c r="AR9" i="13"/>
  <c r="AC7" i="13"/>
  <c r="AF7" i="13" s="1"/>
  <c r="AC13" i="13"/>
  <c r="AF13" i="13"/>
  <c r="AC9" i="13"/>
  <c r="AF9" i="13" s="1"/>
  <c r="AB7" i="13"/>
  <c r="AE7" i="13" s="1"/>
  <c r="AB9" i="13"/>
  <c r="AE9" i="13" s="1"/>
  <c r="AB11" i="13"/>
  <c r="AC11" i="13"/>
  <c r="AB13" i="13"/>
  <c r="AE13" i="13" s="1"/>
  <c r="AB15" i="13"/>
  <c r="AC15" i="13"/>
  <c r="AB8" i="13"/>
  <c r="AE8" i="13" s="1"/>
  <c r="AC8" i="13"/>
  <c r="AF8" i="13" s="1"/>
  <c r="AB10" i="13"/>
  <c r="AC10" i="13"/>
  <c r="AB12" i="13"/>
  <c r="AE12" i="13" s="1"/>
  <c r="AC12" i="13"/>
  <c r="AF12" i="13" s="1"/>
  <c r="AB14" i="13"/>
  <c r="AE14" i="13"/>
  <c r="AC14" i="13"/>
  <c r="AF14" i="13" s="1"/>
  <c r="AP26" i="13"/>
  <c r="AP25" i="13"/>
  <c r="AP22" i="13"/>
  <c r="W20" i="13"/>
  <c r="V22" i="13"/>
  <c r="Y22" i="13" s="1"/>
  <c r="W22" i="13"/>
  <c r="Z22" i="13"/>
  <c r="W24" i="13"/>
  <c r="Z24" i="13" s="1"/>
  <c r="V26" i="13"/>
  <c r="Y26" i="13" s="1"/>
  <c r="W26" i="13"/>
  <c r="Z26" i="13" s="1"/>
  <c r="V19" i="13"/>
  <c r="Y19" i="13" s="1"/>
  <c r="W19" i="13"/>
  <c r="Z19" i="13" s="1"/>
  <c r="V21" i="13"/>
  <c r="Y21" i="13"/>
  <c r="W21" i="13"/>
  <c r="Z21" i="13" s="1"/>
  <c r="V23" i="13"/>
  <c r="Y23" i="13" s="1"/>
  <c r="W23" i="13"/>
  <c r="Z23" i="13" s="1"/>
  <c r="V25" i="13"/>
  <c r="Y25" i="13" s="1"/>
  <c r="W25" i="13"/>
  <c r="Z25" i="13" s="1"/>
  <c r="V27" i="13"/>
  <c r="Y27" i="13" s="1"/>
  <c r="W27" i="13"/>
  <c r="Z27" i="13" s="1"/>
  <c r="V24" i="13"/>
  <c r="Y24" i="13" s="1"/>
  <c r="V20" i="13"/>
  <c r="AR62" i="13"/>
  <c r="AR61" i="13"/>
  <c r="AR58" i="13"/>
  <c r="AR57" i="13"/>
  <c r="AC55" i="13"/>
  <c r="AC61" i="13"/>
  <c r="AF61" i="13" s="1"/>
  <c r="AC57" i="13"/>
  <c r="AF57" i="13" s="1"/>
  <c r="AB55" i="13"/>
  <c r="AB57" i="13"/>
  <c r="AE57" i="13" s="1"/>
  <c r="AB59" i="13"/>
  <c r="AE59" i="13" s="1"/>
  <c r="AC59" i="13"/>
  <c r="AF59" i="13" s="1"/>
  <c r="AB61" i="13"/>
  <c r="AE61" i="13"/>
  <c r="AB63" i="13"/>
  <c r="AE63" i="13" s="1"/>
  <c r="AC63" i="13"/>
  <c r="AF63" i="13" s="1"/>
  <c r="AB56" i="13"/>
  <c r="AE56" i="13" s="1"/>
  <c r="AC56" i="13"/>
  <c r="AF56" i="13"/>
  <c r="AB58" i="13"/>
  <c r="AE58" i="13" s="1"/>
  <c r="AC58" i="13"/>
  <c r="AF58" i="13" s="1"/>
  <c r="AB60" i="13"/>
  <c r="AE60" i="13" s="1"/>
  <c r="AC60" i="13"/>
  <c r="AF60" i="13" s="1"/>
  <c r="AB62" i="13"/>
  <c r="AE62" i="13" s="1"/>
  <c r="AC62" i="13"/>
  <c r="AF62" i="13" s="1"/>
  <c r="AP86" i="13"/>
  <c r="AP85" i="13"/>
  <c r="AP82" i="13"/>
  <c r="AP81" i="13"/>
  <c r="W80" i="13"/>
  <c r="V82" i="13"/>
  <c r="Y82" i="13" s="1"/>
  <c r="W82" i="13"/>
  <c r="Z82" i="13" s="1"/>
  <c r="W84" i="13"/>
  <c r="Z84" i="13" s="1"/>
  <c r="V86" i="13"/>
  <c r="Y86" i="13" s="1"/>
  <c r="W86" i="13"/>
  <c r="Z86" i="13" s="1"/>
  <c r="V79" i="13"/>
  <c r="Y79" i="13" s="1"/>
  <c r="W79" i="13"/>
  <c r="Z79" i="13" s="1"/>
  <c r="V81" i="13"/>
  <c r="Y81" i="13" s="1"/>
  <c r="W81" i="13"/>
  <c r="Z81" i="13" s="1"/>
  <c r="V83" i="13"/>
  <c r="Y83" i="13" s="1"/>
  <c r="W83" i="13"/>
  <c r="Z83" i="13" s="1"/>
  <c r="V85" i="13"/>
  <c r="Y85" i="13" s="1"/>
  <c r="W85" i="13"/>
  <c r="Z85" i="13" s="1"/>
  <c r="V87" i="13"/>
  <c r="W87" i="13"/>
  <c r="Z87" i="13" s="1"/>
  <c r="V84" i="13"/>
  <c r="Y84" i="13" s="1"/>
  <c r="V80" i="13"/>
  <c r="AR98" i="13"/>
  <c r="AR97" i="13"/>
  <c r="AR95" i="13"/>
  <c r="AC97" i="13"/>
  <c r="AF97" i="13" s="1"/>
  <c r="AB91" i="13"/>
  <c r="AE91" i="13"/>
  <c r="AB93" i="13"/>
  <c r="AE93" i="13" s="1"/>
  <c r="AC92" i="13"/>
  <c r="AC94" i="13"/>
  <c r="AF94" i="13" s="1"/>
  <c r="AC96" i="13"/>
  <c r="AF96" i="13" s="1"/>
  <c r="AB97" i="13"/>
  <c r="AE97" i="13" s="1"/>
  <c r="AC98" i="13"/>
  <c r="AF98" i="13" s="1"/>
  <c r="AC93" i="13"/>
  <c r="AF93" i="13" s="1"/>
  <c r="V96" i="13"/>
  <c r="W98" i="13"/>
  <c r="Z98" i="13" s="1"/>
  <c r="V99" i="13"/>
  <c r="Y99" i="13"/>
  <c r="W99" i="13"/>
  <c r="Z99" i="13" s="1"/>
  <c r="V92" i="13"/>
  <c r="Y92" i="13" s="1"/>
  <c r="W96" i="13"/>
  <c r="V97" i="13"/>
  <c r="Y97" i="13" s="1"/>
  <c r="W97" i="13"/>
  <c r="Z97" i="13" s="1"/>
  <c r="V98" i="13"/>
  <c r="Y98" i="13"/>
  <c r="W92" i="13"/>
  <c r="Z92" i="13" s="1"/>
  <c r="V94" i="13"/>
  <c r="Y94" i="13" s="1"/>
  <c r="W94" i="13"/>
  <c r="Z94" i="13" s="1"/>
  <c r="V91" i="13"/>
  <c r="Y91" i="13" s="1"/>
  <c r="W91" i="13"/>
  <c r="Z91" i="13" s="1"/>
  <c r="V93" i="13"/>
  <c r="Y93" i="13" s="1"/>
  <c r="W93" i="13"/>
  <c r="Z93" i="13" s="1"/>
  <c r="V95" i="13"/>
  <c r="Y95" i="13" s="1"/>
  <c r="W95" i="13"/>
  <c r="Z95" i="13" s="1"/>
  <c r="AR72" i="13"/>
  <c r="AR71" i="13"/>
  <c r="AR51" i="13"/>
  <c r="AR47" i="13"/>
  <c r="AP47" i="13"/>
  <c r="AP44" i="13"/>
  <c r="W41" i="38"/>
  <c r="X41" i="38"/>
  <c r="AP41" i="38"/>
  <c r="W36" i="38"/>
  <c r="X36" i="38"/>
  <c r="AP36" i="38"/>
  <c r="AP45" i="10"/>
  <c r="AP62" i="10"/>
  <c r="AW36" i="17"/>
  <c r="AW40" i="17"/>
  <c r="Z40" i="17"/>
  <c r="AW44" i="17"/>
  <c r="Z44" i="17"/>
  <c r="AA49" i="17"/>
  <c r="AW49" i="17"/>
  <c r="AA54" i="17"/>
  <c r="AW54" i="17"/>
  <c r="AW81" i="17"/>
  <c r="AW86" i="17"/>
  <c r="AW99" i="17"/>
  <c r="AW98" i="17"/>
  <c r="AW97" i="17"/>
  <c r="AW96" i="17"/>
  <c r="AW95" i="17"/>
  <c r="AW94" i="17"/>
  <c r="AW93" i="17"/>
  <c r="AW92" i="17"/>
  <c r="AW91" i="17"/>
  <c r="AW90" i="17"/>
  <c r="AW89" i="17"/>
  <c r="AW88" i="17"/>
  <c r="AW87" i="17"/>
  <c r="AW101" i="17"/>
  <c r="AW102" i="17"/>
  <c r="AW103" i="17"/>
  <c r="AW105" i="17"/>
  <c r="AW106" i="17"/>
  <c r="AW112" i="17"/>
  <c r="AW124" i="17"/>
  <c r="AW122" i="17"/>
  <c r="AW120" i="17"/>
  <c r="AW118" i="17"/>
  <c r="AW116" i="17"/>
  <c r="AW114" i="17"/>
  <c r="AW127" i="17"/>
  <c r="AW129" i="17"/>
  <c r="W13" i="38"/>
  <c r="N7" i="28"/>
  <c r="X7" i="28" s="1"/>
  <c r="W7" i="28"/>
  <c r="N10" i="28"/>
  <c r="X10" i="28" s="1"/>
  <c r="W10" i="28"/>
  <c r="N13" i="28"/>
  <c r="X13" i="28"/>
  <c r="W13" i="28"/>
  <c r="AP22" i="10"/>
  <c r="AP28" i="10"/>
  <c r="AA28" i="10"/>
  <c r="AP33" i="10"/>
  <c r="AP39" i="10"/>
  <c r="AP40" i="10"/>
  <c r="AP46" i="10"/>
  <c r="AP52" i="10"/>
  <c r="AP56" i="10"/>
  <c r="AP63" i="10"/>
  <c r="X15" i="17"/>
  <c r="X24" i="17"/>
  <c r="AW34" i="17"/>
  <c r="AW60" i="17"/>
  <c r="AW73" i="17"/>
  <c r="AW72" i="17"/>
  <c r="AW71" i="17"/>
  <c r="AW70" i="17"/>
  <c r="AW69" i="17"/>
  <c r="AW68" i="17"/>
  <c r="AW67" i="17"/>
  <c r="AW66" i="17"/>
  <c r="AW65" i="17"/>
  <c r="AW64" i="17"/>
  <c r="AW63" i="17"/>
  <c r="AW62" i="17"/>
  <c r="AW61" i="17"/>
  <c r="AW75" i="17"/>
  <c r="AW76" i="17"/>
  <c r="AW77" i="17"/>
  <c r="AW79" i="17"/>
  <c r="AW80" i="17"/>
  <c r="AW107" i="17"/>
  <c r="AW125" i="17"/>
  <c r="AW123" i="17"/>
  <c r="AW121" i="17"/>
  <c r="AW119" i="17"/>
  <c r="AW117" i="17"/>
  <c r="AW115" i="17"/>
  <c r="AW113" i="17"/>
  <c r="AW128" i="17"/>
  <c r="AW131" i="17"/>
  <c r="AW132" i="17"/>
  <c r="AW133" i="17"/>
  <c r="AO13" i="13"/>
  <c r="AO9" i="13"/>
  <c r="AO25" i="13"/>
  <c r="AO21" i="13"/>
  <c r="AO61" i="13"/>
  <c r="AO57" i="13"/>
  <c r="AO85" i="13"/>
  <c r="AO81" i="13"/>
  <c r="AO97" i="13"/>
  <c r="AO95" i="13"/>
  <c r="AO91" i="13"/>
  <c r="AO75" i="13"/>
  <c r="AO71" i="13"/>
  <c r="AO67" i="13"/>
  <c r="AO51" i="13"/>
  <c r="AV21" i="28"/>
  <c r="X7" i="23"/>
  <c r="X19" i="23"/>
  <c r="X15" i="23"/>
  <c r="X11" i="23"/>
  <c r="X24" i="23"/>
  <c r="AQ50" i="23"/>
  <c r="AS41" i="23"/>
  <c r="AS50" i="23"/>
  <c r="AQ68" i="23"/>
  <c r="AS65" i="23"/>
  <c r="AS69" i="23"/>
  <c r="AQ102" i="23"/>
  <c r="AS87" i="23"/>
  <c r="AS91" i="23"/>
  <c r="AS99" i="23"/>
  <c r="AS105" i="23"/>
  <c r="AS114" i="23"/>
  <c r="AS122" i="23"/>
  <c r="AS127" i="23"/>
  <c r="AS132" i="23"/>
  <c r="AQ34" i="23"/>
  <c r="AQ38" i="23"/>
  <c r="AQ42" i="23"/>
  <c r="AQ46" i="23"/>
  <c r="AS35" i="23"/>
  <c r="AS43" i="23"/>
  <c r="AS53" i="23"/>
  <c r="AQ63" i="23"/>
  <c r="AQ67" i="23"/>
  <c r="AQ71" i="23"/>
  <c r="AQ81" i="23"/>
  <c r="AS63" i="23"/>
  <c r="AS76" i="23"/>
  <c r="AS81" i="23"/>
  <c r="AQ96" i="23"/>
  <c r="N7" i="10"/>
  <c r="Y7" i="10" s="1"/>
  <c r="N8" i="10"/>
  <c r="Y8" i="10" s="1"/>
  <c r="N10" i="10"/>
  <c r="Y10" i="10" s="1"/>
  <c r="N11" i="10"/>
  <c r="Y11" i="10" s="1"/>
  <c r="N13" i="10"/>
  <c r="N14" i="10"/>
  <c r="W26" i="10"/>
  <c r="AA26" i="10" s="1"/>
  <c r="AO39" i="10"/>
  <c r="AO46" i="10"/>
  <c r="AO45" i="10"/>
  <c r="AO52" i="10"/>
  <c r="AO56" i="10"/>
  <c r="W27" i="17"/>
  <c r="W24" i="17"/>
  <c r="W19" i="17"/>
  <c r="W15" i="17"/>
  <c r="W11" i="17"/>
  <c r="W7" i="17"/>
  <c r="AV34" i="17"/>
  <c r="AV132" i="27"/>
  <c r="AV39" i="27"/>
  <c r="AV47" i="27"/>
  <c r="AV86" i="27"/>
  <c r="W24" i="23"/>
  <c r="W22" i="23"/>
  <c r="W19" i="23"/>
  <c r="W17" i="23"/>
  <c r="W15" i="23"/>
  <c r="W13" i="23"/>
  <c r="W11" i="23"/>
  <c r="W8" i="23"/>
  <c r="W7" i="23"/>
  <c r="AP34" i="23"/>
  <c r="AP38" i="23"/>
  <c r="AP42" i="23"/>
  <c r="AP46" i="23"/>
  <c r="AP51" i="23"/>
  <c r="AR35" i="23"/>
  <c r="AR37" i="23"/>
  <c r="AR39" i="23"/>
  <c r="AR41" i="23"/>
  <c r="AR43" i="23"/>
  <c r="AR45" i="23"/>
  <c r="AR47" i="23"/>
  <c r="AR50" i="23"/>
  <c r="AR53" i="23"/>
  <c r="AR55" i="23"/>
  <c r="AP63" i="23"/>
  <c r="AP67" i="23"/>
  <c r="AP71" i="23"/>
  <c r="AP76" i="23"/>
  <c r="AP81" i="23"/>
  <c r="AR61" i="23"/>
  <c r="AR63" i="23"/>
  <c r="AR65" i="23"/>
  <c r="AR67" i="23"/>
  <c r="AR69" i="23"/>
  <c r="AR71" i="23"/>
  <c r="AR73" i="23"/>
  <c r="AR76" i="23"/>
  <c r="AR79" i="23"/>
  <c r="AR81" i="23"/>
  <c r="AP89" i="23"/>
  <c r="AP93" i="23"/>
  <c r="AP97" i="23"/>
  <c r="AP102" i="23"/>
  <c r="AP107" i="23"/>
  <c r="AR87" i="23"/>
  <c r="AR89" i="23"/>
  <c r="AR91" i="23"/>
  <c r="AR93" i="23"/>
  <c r="AR95" i="23"/>
  <c r="AR97" i="23"/>
  <c r="AR99" i="23"/>
  <c r="AR102" i="23"/>
  <c r="AR105" i="23"/>
  <c r="AR107" i="23"/>
  <c r="AP112" i="23"/>
  <c r="AP114" i="23"/>
  <c r="AP116" i="23"/>
  <c r="AP118" i="23"/>
  <c r="AP120" i="23"/>
  <c r="AP122" i="23"/>
  <c r="AP124" i="23"/>
  <c r="AP127" i="23"/>
  <c r="AP129" i="23"/>
  <c r="AP132" i="23"/>
  <c r="AR112" i="23"/>
  <c r="AR114" i="23"/>
  <c r="AR116" i="23"/>
  <c r="AR118" i="23"/>
  <c r="AR120" i="23"/>
  <c r="AR122" i="23"/>
  <c r="AR124" i="23"/>
  <c r="AR127" i="23"/>
  <c r="AR129" i="23"/>
  <c r="AR132" i="23"/>
  <c r="AI38" i="22"/>
  <c r="AI42" i="22"/>
  <c r="AI46" i="22"/>
  <c r="AI60" i="22"/>
  <c r="AI62" i="22"/>
  <c r="AI75" i="22"/>
  <c r="AI80" i="22"/>
  <c r="AI95" i="22"/>
  <c r="AI102" i="22"/>
  <c r="AI105" i="22"/>
  <c r="AI129" i="22"/>
  <c r="AI132" i="22"/>
  <c r="AI36" i="22"/>
  <c r="AI40" i="22"/>
  <c r="AI44" i="22"/>
  <c r="AI49" i="22"/>
  <c r="AI54" i="22"/>
  <c r="AI76" i="22"/>
  <c r="AI89" i="22"/>
  <c r="AI93" i="22"/>
  <c r="AI103" i="22"/>
  <c r="AI106" i="22"/>
  <c r="AI123" i="22"/>
  <c r="AU35" i="27"/>
  <c r="AU39" i="27"/>
  <c r="AU43" i="27"/>
  <c r="AU47" i="27"/>
  <c r="AU53" i="27"/>
  <c r="AW35" i="27"/>
  <c r="AW39" i="27"/>
  <c r="AW43" i="27"/>
  <c r="AW47" i="27"/>
  <c r="AW53" i="27"/>
  <c r="AU86" i="27"/>
  <c r="AU88" i="27"/>
  <c r="AU90" i="27"/>
  <c r="AU92" i="27"/>
  <c r="AU94" i="27"/>
  <c r="AU96" i="27"/>
  <c r="AU98" i="27"/>
  <c r="AU101" i="27"/>
  <c r="AU103" i="27"/>
  <c r="AU106" i="27"/>
  <c r="AW86" i="27"/>
  <c r="AW88" i="27"/>
  <c r="AW90" i="27"/>
  <c r="AW92" i="27"/>
  <c r="AW94" i="27"/>
  <c r="AW96" i="27"/>
  <c r="AW98" i="27"/>
  <c r="AW101" i="27"/>
  <c r="AW103" i="27"/>
  <c r="AW106" i="27"/>
  <c r="AU112" i="27"/>
  <c r="AU114" i="27"/>
  <c r="AU116" i="27"/>
  <c r="AU118" i="27"/>
  <c r="AU120" i="27"/>
  <c r="AU122" i="27"/>
  <c r="AU124" i="27"/>
  <c r="AU127" i="27"/>
  <c r="AU129" i="27"/>
  <c r="AU132" i="27"/>
  <c r="AW112" i="27"/>
  <c r="AW114" i="27"/>
  <c r="AW116" i="27"/>
  <c r="AW118" i="27"/>
  <c r="AW120" i="27"/>
  <c r="AW122" i="27"/>
  <c r="AW124" i="27"/>
  <c r="AW127" i="27"/>
  <c r="AW129" i="27"/>
  <c r="AW132" i="27"/>
  <c r="AX108" i="27"/>
  <c r="V7" i="27"/>
  <c r="V9" i="27"/>
  <c r="V11" i="27"/>
  <c r="V13" i="27"/>
  <c r="V15" i="27"/>
  <c r="V17" i="27"/>
  <c r="V19" i="27"/>
  <c r="V22" i="27"/>
  <c r="V24" i="27"/>
  <c r="V27" i="27"/>
  <c r="AL30" i="27"/>
  <c r="AL35" i="27"/>
  <c r="AL37" i="27"/>
  <c r="AL39" i="27"/>
  <c r="AL41" i="27"/>
  <c r="AL43" i="27"/>
  <c r="AL45" i="27"/>
  <c r="AL47" i="27"/>
  <c r="AL50" i="27"/>
  <c r="AL53" i="27"/>
  <c r="AL55" i="27"/>
  <c r="AM34" i="27"/>
  <c r="AM36" i="27"/>
  <c r="AM38" i="27"/>
  <c r="AM40" i="27"/>
  <c r="AM42" i="27"/>
  <c r="AM44" i="27"/>
  <c r="AM46" i="27"/>
  <c r="AM49" i="27"/>
  <c r="AM51" i="27"/>
  <c r="AM54" i="27"/>
  <c r="AO30" i="27"/>
  <c r="AO35" i="27"/>
  <c r="AO37" i="27"/>
  <c r="AO39" i="27"/>
  <c r="AO41" i="27"/>
  <c r="AO43" i="27"/>
  <c r="AO45" i="27"/>
  <c r="AO47" i="27"/>
  <c r="AO50" i="27"/>
  <c r="AO53" i="27"/>
  <c r="AO55" i="27"/>
  <c r="AO56" i="27"/>
  <c r="AO62" i="27"/>
  <c r="AO64" i="27"/>
  <c r="AO66" i="27"/>
  <c r="AO68" i="27"/>
  <c r="AO70" i="27"/>
  <c r="AO72" i="27"/>
  <c r="AO75" i="27"/>
  <c r="AO77" i="27"/>
  <c r="AO80" i="27"/>
  <c r="AO82" i="27"/>
  <c r="AO87" i="27"/>
  <c r="AO89" i="27"/>
  <c r="AO91" i="27"/>
  <c r="AO93" i="27"/>
  <c r="AO95" i="27"/>
  <c r="AO97" i="27"/>
  <c r="AO99" i="27"/>
  <c r="AO102" i="27"/>
  <c r="AO105" i="27"/>
  <c r="AO107" i="27"/>
  <c r="AO112" i="27"/>
  <c r="AO114" i="27"/>
  <c r="AO116" i="27"/>
  <c r="AO118" i="27"/>
  <c r="AO120" i="27"/>
  <c r="AO122" i="27"/>
  <c r="AO124" i="27"/>
  <c r="AO127" i="27"/>
  <c r="AO129" i="27"/>
  <c r="AO132" i="27"/>
  <c r="AM82" i="27"/>
  <c r="AM87" i="27"/>
  <c r="AM89" i="27"/>
  <c r="AM91" i="27"/>
  <c r="AM93" i="27"/>
  <c r="AM95" i="27"/>
  <c r="AM97" i="27"/>
  <c r="AM99" i="27"/>
  <c r="AM102" i="27"/>
  <c r="AM105" i="27"/>
  <c r="AM107" i="27"/>
  <c r="U112" i="22"/>
  <c r="U127" i="22"/>
  <c r="U128" i="22"/>
  <c r="U129" i="22"/>
  <c r="W129" i="22" s="1"/>
  <c r="U132" i="22"/>
  <c r="W132" i="22" s="1"/>
  <c r="AC87" i="22"/>
  <c r="AC89" i="22"/>
  <c r="AC91" i="22"/>
  <c r="AC93" i="22"/>
  <c r="AC95" i="22"/>
  <c r="AC97" i="22"/>
  <c r="AC99" i="22"/>
  <c r="AC102" i="22"/>
  <c r="AC105" i="22"/>
  <c r="Y13" i="10"/>
  <c r="G10" i="61"/>
  <c r="G8" i="61"/>
  <c r="G4" i="61"/>
  <c r="G6" i="61"/>
  <c r="G4" i="79"/>
  <c r="G4" i="59"/>
  <c r="G26" i="59"/>
  <c r="G10" i="59"/>
  <c r="G6" i="59"/>
  <c r="G18" i="59"/>
  <c r="G14" i="59"/>
  <c r="G22" i="59"/>
  <c r="G30" i="59"/>
  <c r="G24" i="67"/>
  <c r="G28" i="67"/>
  <c r="G15" i="67"/>
  <c r="G12" i="57"/>
  <c r="G8" i="57"/>
  <c r="G10" i="57"/>
  <c r="G17" i="89"/>
  <c r="G18" i="89"/>
  <c r="G19" i="89"/>
  <c r="G20" i="89"/>
  <c r="E3" i="89"/>
  <c r="E4" i="89"/>
  <c r="E66" i="89"/>
  <c r="E65" i="89"/>
  <c r="E64" i="89"/>
  <c r="E63" i="89"/>
  <c r="E62" i="89"/>
  <c r="E61" i="89"/>
  <c r="E60" i="89"/>
  <c r="E59" i="89"/>
  <c r="E58" i="89"/>
  <c r="E57" i="89"/>
  <c r="E56" i="89"/>
  <c r="E55" i="89"/>
  <c r="E54" i="89"/>
  <c r="E53" i="89"/>
  <c r="E52" i="89"/>
  <c r="E51" i="89"/>
  <c r="E50" i="89"/>
  <c r="E49" i="89"/>
  <c r="E48" i="89"/>
  <c r="E47" i="89"/>
  <c r="E46" i="89"/>
  <c r="E45" i="89"/>
  <c r="E44" i="89"/>
  <c r="E43" i="89"/>
  <c r="E42" i="89"/>
  <c r="E41" i="89"/>
  <c r="E40" i="89"/>
  <c r="E39" i="89"/>
  <c r="E38" i="89"/>
  <c r="E37" i="89"/>
  <c r="E36" i="89"/>
  <c r="E35" i="89"/>
  <c r="E34" i="89"/>
  <c r="E33" i="89"/>
  <c r="E32" i="89"/>
  <c r="E31" i="89"/>
  <c r="E30" i="89"/>
  <c r="E29" i="89"/>
  <c r="E28" i="89"/>
  <c r="E27" i="89"/>
  <c r="E26" i="89"/>
  <c r="E25" i="89"/>
  <c r="E24" i="89"/>
  <c r="E23" i="89"/>
  <c r="E22" i="89"/>
  <c r="E21" i="89"/>
  <c r="E20" i="89"/>
  <c r="E19" i="89"/>
  <c r="E18" i="89"/>
  <c r="E17" i="89"/>
  <c r="E16" i="89"/>
  <c r="E15" i="89"/>
  <c r="E14" i="89"/>
  <c r="E13" i="89"/>
  <c r="E12" i="89"/>
  <c r="E11" i="89"/>
  <c r="E10" i="89"/>
  <c r="E9" i="89"/>
  <c r="E8" i="89"/>
  <c r="E7" i="89"/>
  <c r="E6" i="89"/>
  <c r="G65" i="89"/>
  <c r="G66" i="89"/>
  <c r="G63" i="89"/>
  <c r="G61" i="89"/>
  <c r="G59" i="89"/>
  <c r="G57" i="89"/>
  <c r="G55" i="89"/>
  <c r="G53" i="89"/>
  <c r="G51" i="89"/>
  <c r="G64" i="89"/>
  <c r="G62" i="89"/>
  <c r="G60" i="89"/>
  <c r="G58" i="89"/>
  <c r="G56" i="89"/>
  <c r="G54" i="89"/>
  <c r="G52" i="89"/>
  <c r="G33" i="89"/>
  <c r="G31" i="89"/>
  <c r="G29" i="89"/>
  <c r="G27" i="89"/>
  <c r="G25" i="89"/>
  <c r="G23" i="89"/>
  <c r="G21" i="89"/>
  <c r="G34" i="89"/>
  <c r="G32" i="89"/>
  <c r="G30" i="89"/>
  <c r="G28" i="89"/>
  <c r="G26" i="89"/>
  <c r="G24" i="89"/>
  <c r="G50" i="89"/>
  <c r="G49" i="89"/>
  <c r="G48" i="89"/>
  <c r="G47" i="89"/>
  <c r="G46" i="89"/>
  <c r="G45" i="89"/>
  <c r="G44" i="89"/>
  <c r="G43" i="89"/>
  <c r="G42" i="89"/>
  <c r="G41" i="89"/>
  <c r="G40" i="89"/>
  <c r="G39" i="89"/>
  <c r="G38" i="89"/>
  <c r="G37" i="89"/>
  <c r="G36" i="89"/>
  <c r="G22" i="89"/>
  <c r="G4" i="89"/>
  <c r="G5" i="89"/>
  <c r="G6" i="89"/>
  <c r="G7" i="89"/>
  <c r="G8" i="89"/>
  <c r="G9" i="89"/>
  <c r="G10" i="89"/>
  <c r="G11" i="89"/>
  <c r="G12" i="89"/>
  <c r="G13" i="89"/>
  <c r="G14" i="89"/>
  <c r="G15" i="89"/>
  <c r="G16" i="89"/>
  <c r="AP26" i="10"/>
  <c r="V13" i="18"/>
  <c r="W13" i="18"/>
  <c r="AS43" i="25"/>
  <c r="AM42" i="25"/>
  <c r="AQ42" i="25"/>
  <c r="AS38" i="25"/>
  <c r="AM8" i="25"/>
  <c r="AK7" i="25"/>
  <c r="AK17" i="25"/>
  <c r="AK27" i="25"/>
  <c r="AK38" i="25"/>
  <c r="AI8" i="25"/>
  <c r="AI18" i="25"/>
  <c r="AI28" i="25"/>
  <c r="AI42" i="25"/>
  <c r="AJ32" i="25"/>
  <c r="AQ32" i="25"/>
  <c r="F3" i="25"/>
  <c r="N3" i="25"/>
  <c r="Y3" i="25"/>
  <c r="AI3" i="25"/>
  <c r="AQ3" i="25"/>
  <c r="BE99" i="46"/>
  <c r="AB99" i="46"/>
  <c r="AD25" i="46"/>
  <c r="AD21" i="46"/>
  <c r="AC25" i="46"/>
  <c r="AC20" i="46"/>
  <c r="AC26" i="46"/>
  <c r="AD27" i="46"/>
  <c r="AD23" i="46"/>
  <c r="AD19" i="46"/>
  <c r="AC23" i="46"/>
  <c r="AL35" i="46"/>
  <c r="AO35" i="46" s="1"/>
  <c r="AL32" i="46"/>
  <c r="AK38" i="46"/>
  <c r="AK35" i="46"/>
  <c r="AN35" i="46" s="1"/>
  <c r="AL39" i="46"/>
  <c r="AL36" i="46"/>
  <c r="AL31" i="46"/>
  <c r="AK36" i="46"/>
  <c r="AK33" i="46"/>
  <c r="AL85" i="46"/>
  <c r="AK81" i="46"/>
  <c r="AK79" i="46"/>
  <c r="AL87" i="46"/>
  <c r="AL83" i="46"/>
  <c r="AK85" i="46"/>
  <c r="AK80" i="46"/>
  <c r="AB8" i="25"/>
  <c r="AN43" i="25"/>
  <c r="AJ43" i="25"/>
  <c r="AN38" i="25"/>
  <c r="AJ38" i="25"/>
  <c r="AM37" i="25"/>
  <c r="AJ37" i="25"/>
  <c r="AM33" i="25"/>
  <c r="AM28" i="25"/>
  <c r="AM27" i="25"/>
  <c r="AQ27" i="25"/>
  <c r="AM23" i="25"/>
  <c r="AM22" i="25"/>
  <c r="AQ22" i="25"/>
  <c r="AM18" i="25"/>
  <c r="AM17" i="25"/>
  <c r="AQ17" i="25"/>
  <c r="AM13" i="25"/>
  <c r="AM12" i="25"/>
  <c r="AQ12" i="25"/>
  <c r="AB7" i="25"/>
  <c r="AM7" i="25"/>
  <c r="AK12" i="25"/>
  <c r="AK22" i="25"/>
  <c r="AK33" i="25"/>
  <c r="AK43" i="25"/>
  <c r="AI13" i="25"/>
  <c r="AI23" i="25"/>
  <c r="AI37" i="25"/>
  <c r="AM32" i="25"/>
  <c r="AI32" i="25"/>
  <c r="J3" i="25"/>
  <c r="S3" i="25"/>
  <c r="AD3" i="25"/>
  <c r="AM3" i="25"/>
  <c r="BF72" i="46"/>
  <c r="AK15" i="46"/>
  <c r="AK9" i="46"/>
  <c r="AC47" i="46"/>
  <c r="AC44" i="46"/>
  <c r="AC49" i="46"/>
  <c r="AC46" i="46"/>
  <c r="AL62" i="46"/>
  <c r="AL56" i="46"/>
  <c r="AK62" i="46"/>
  <c r="AK58" i="46"/>
  <c r="AL60" i="46"/>
  <c r="AL57" i="46"/>
  <c r="AK60" i="46"/>
  <c r="AK56" i="46"/>
  <c r="AD97" i="46"/>
  <c r="AD92" i="46"/>
  <c r="AD96" i="46"/>
  <c r="AG96" i="46" s="1"/>
  <c r="AD93" i="46"/>
  <c r="BE84" i="46"/>
  <c r="BE83" i="46"/>
  <c r="BE82" i="46"/>
  <c r="BE81" i="46"/>
  <c r="BE80" i="46"/>
  <c r="BE79" i="46"/>
  <c r="BE72" i="46"/>
  <c r="BE68" i="46"/>
  <c r="BE61" i="46"/>
  <c r="BE58" i="46"/>
  <c r="AT13" i="19"/>
  <c r="AT8" i="19"/>
  <c r="AT37" i="19"/>
  <c r="AT34" i="19"/>
  <c r="AT63" i="19"/>
  <c r="AT58" i="19"/>
  <c r="AT74" i="19"/>
  <c r="AT72" i="19"/>
  <c r="AT70" i="19"/>
  <c r="AT68" i="19"/>
  <c r="AT99" i="19"/>
  <c r="AT95" i="19"/>
  <c r="S11" i="29"/>
  <c r="AP11" i="29" s="1"/>
  <c r="AO11" i="29"/>
  <c r="AO25" i="29"/>
  <c r="S25" i="29"/>
  <c r="AP25" i="29" s="1"/>
  <c r="AO44" i="29"/>
  <c r="S44" i="29"/>
  <c r="AO49" i="29"/>
  <c r="S49" i="29"/>
  <c r="AP49" i="29" s="1"/>
  <c r="S63" i="29"/>
  <c r="AO63" i="29"/>
  <c r="AO71" i="29"/>
  <c r="S71" i="29"/>
  <c r="AP71" i="29" s="1"/>
  <c r="S85" i="29"/>
  <c r="AP85" i="29" s="1"/>
  <c r="AO85" i="29"/>
  <c r="AO93" i="29"/>
  <c r="S93" i="29"/>
  <c r="AP93" i="29" s="1"/>
  <c r="AQ27" i="29"/>
  <c r="AQ38" i="29"/>
  <c r="S8" i="29"/>
  <c r="AO8" i="29"/>
  <c r="AR34" i="38"/>
  <c r="AC34" i="38"/>
  <c r="AD34" i="38"/>
  <c r="AX47" i="28"/>
  <c r="BC20" i="46"/>
  <c r="BC13" i="46"/>
  <c r="S12" i="29"/>
  <c r="AP12" i="29" s="1"/>
  <c r="AO12" i="29"/>
  <c r="S22" i="29"/>
  <c r="AO22" i="29"/>
  <c r="S37" i="29"/>
  <c r="AP37" i="29" s="1"/>
  <c r="AO37" i="29"/>
  <c r="S45" i="29"/>
  <c r="AP45" i="29" s="1"/>
  <c r="AO45" i="29"/>
  <c r="S59" i="29"/>
  <c r="AP59" i="29" s="1"/>
  <c r="AO59" i="29"/>
  <c r="S67" i="29"/>
  <c r="AO67" i="29"/>
  <c r="S81" i="29"/>
  <c r="AP81" i="29" s="1"/>
  <c r="AO81" i="29"/>
  <c r="S86" i="29"/>
  <c r="AP86" i="29" s="1"/>
  <c r="AO86" i="29"/>
  <c r="AQ26" i="29"/>
  <c r="T26" i="29"/>
  <c r="AR26" i="29" s="1"/>
  <c r="AQ33" i="29"/>
  <c r="T33" i="29"/>
  <c r="AQ37" i="29"/>
  <c r="T37" i="29"/>
  <c r="AR37" i="29" s="1"/>
  <c r="AQ44" i="29"/>
  <c r="T44" i="29"/>
  <c r="AR44" i="29" s="1"/>
  <c r="AR27" i="38"/>
  <c r="AC27" i="38"/>
  <c r="AD27" i="38"/>
  <c r="AX21" i="28"/>
  <c r="BE92" i="46"/>
  <c r="BE37" i="46"/>
  <c r="BE33" i="46"/>
  <c r="BE26" i="46"/>
  <c r="BE22" i="46"/>
  <c r="BE8" i="46"/>
  <c r="AT82" i="19"/>
  <c r="AT84" i="19"/>
  <c r="AT86" i="19"/>
  <c r="S13" i="29"/>
  <c r="AO13" i="29"/>
  <c r="AO23" i="29"/>
  <c r="S23" i="29"/>
  <c r="AP23" i="29" s="1"/>
  <c r="S33" i="29"/>
  <c r="AP33" i="29" s="1"/>
  <c r="AO33" i="29"/>
  <c r="S38" i="29"/>
  <c r="AP38" i="29" s="1"/>
  <c r="AO38" i="29"/>
  <c r="AO55" i="29"/>
  <c r="S60" i="29"/>
  <c r="AP60" i="29" s="1"/>
  <c r="AO60" i="29"/>
  <c r="AO74" i="29"/>
  <c r="S74" i="29"/>
  <c r="AP74" i="29" s="1"/>
  <c r="S82" i="29"/>
  <c r="AO82" i="29"/>
  <c r="AO96" i="29"/>
  <c r="S96" i="29"/>
  <c r="T70" i="29"/>
  <c r="AR70" i="29" s="1"/>
  <c r="AQ70" i="29"/>
  <c r="T72" i="29"/>
  <c r="AQ72" i="29"/>
  <c r="T50" i="29"/>
  <c r="AR50" i="29"/>
  <c r="AQ50" i="29"/>
  <c r="AR29" i="38"/>
  <c r="AC29" i="38"/>
  <c r="AD29" i="38"/>
  <c r="AX34" i="28"/>
  <c r="AI93" i="19"/>
  <c r="AM96" i="19"/>
  <c r="AP97" i="19"/>
  <c r="AI91" i="19"/>
  <c r="AK91" i="19"/>
  <c r="S14" i="29"/>
  <c r="AP14" i="29" s="1"/>
  <c r="AO14" i="29"/>
  <c r="S24" i="29"/>
  <c r="AP24" i="29" s="1"/>
  <c r="AO24" i="29"/>
  <c r="S34" i="29"/>
  <c r="AP34" i="29" s="1"/>
  <c r="AO34" i="29"/>
  <c r="S56" i="29"/>
  <c r="AP56" i="29" s="1"/>
  <c r="AO56" i="29"/>
  <c r="S70" i="29"/>
  <c r="AP70" i="29" s="1"/>
  <c r="AO70" i="29"/>
  <c r="S75" i="29"/>
  <c r="AO75" i="29"/>
  <c r="S92" i="29"/>
  <c r="AO92" i="29"/>
  <c r="S97" i="29"/>
  <c r="AP97" i="29" s="1"/>
  <c r="AO97" i="29"/>
  <c r="T24" i="29"/>
  <c r="AR24" i="29"/>
  <c r="AQ24" i="29"/>
  <c r="T31" i="29"/>
  <c r="AR31" i="29" s="1"/>
  <c r="AQ31" i="29"/>
  <c r="T35" i="29"/>
  <c r="AR35" i="29"/>
  <c r="AQ35" i="29"/>
  <c r="T39" i="29"/>
  <c r="AQ39" i="29"/>
  <c r="S7" i="29"/>
  <c r="AP7" i="29" s="1"/>
  <c r="AO7" i="29"/>
  <c r="AQ8" i="13"/>
  <c r="AQ25" i="13"/>
  <c r="AO36" i="38"/>
  <c r="X34" i="38"/>
  <c r="X29" i="38"/>
  <c r="AC28" i="38"/>
  <c r="X27" i="38"/>
  <c r="S31" i="13"/>
  <c r="AP31" i="13" s="1"/>
  <c r="S39" i="13"/>
  <c r="AQ32" i="13"/>
  <c r="AQ36" i="13"/>
  <c r="AO15" i="13"/>
  <c r="S20" i="13"/>
  <c r="Y20" i="13" s="1"/>
  <c r="AO19" i="13"/>
  <c r="AO63" i="13"/>
  <c r="S80" i="13"/>
  <c r="AO79" i="13"/>
  <c r="AO99" i="13"/>
  <c r="AO73" i="13"/>
  <c r="AO49" i="13"/>
  <c r="AO45" i="13"/>
  <c r="V20" i="38"/>
  <c r="X28" i="38"/>
  <c r="R14" i="38"/>
  <c r="T43" i="38"/>
  <c r="M8" i="38"/>
  <c r="AX40" i="28"/>
  <c r="Z22" i="28"/>
  <c r="Y3" i="28"/>
  <c r="Y10" i="28"/>
  <c r="AH16" i="28"/>
  <c r="AH23" i="28"/>
  <c r="AS16" i="28"/>
  <c r="AU21" i="28"/>
  <c r="AV22" i="28"/>
  <c r="AW20" i="28"/>
  <c r="AX20" i="28"/>
  <c r="AU23" i="28"/>
  <c r="AS23" i="28"/>
  <c r="AU33" i="28"/>
  <c r="AW35" i="28"/>
  <c r="AW36" i="28"/>
  <c r="AV39" i="28"/>
  <c r="AS49" i="28"/>
  <c r="AT55" i="28"/>
  <c r="AU46" i="28"/>
  <c r="AV46" i="28"/>
  <c r="AW48" i="28"/>
  <c r="AW49" i="28"/>
  <c r="W54" i="28"/>
  <c r="AV54" i="28" s="1"/>
  <c r="AU55" i="28"/>
  <c r="W60" i="28"/>
  <c r="AW55" i="28"/>
  <c r="AC59" i="28"/>
  <c r="AU65" i="28"/>
  <c r="W65" i="28"/>
  <c r="AW66" i="28"/>
  <c r="AW65" i="28"/>
  <c r="AC67" i="28"/>
  <c r="AX67" i="28" s="1"/>
  <c r="V3" i="28"/>
  <c r="AO32" i="10"/>
  <c r="W32" i="10"/>
  <c r="AP32" i="10" s="1"/>
  <c r="AP64" i="10"/>
  <c r="AA37" i="17"/>
  <c r="AW37" i="17"/>
  <c r="AW55" i="17"/>
  <c r="AA55" i="17"/>
  <c r="AQ13" i="13"/>
  <c r="AQ27" i="13"/>
  <c r="AQ20" i="13"/>
  <c r="AQ61" i="13"/>
  <c r="AQ87" i="13"/>
  <c r="AQ86" i="13"/>
  <c r="AQ80" i="13"/>
  <c r="AQ97" i="13"/>
  <c r="AQ95" i="13"/>
  <c r="AQ74" i="13"/>
  <c r="AQ71" i="13"/>
  <c r="AQ50" i="13"/>
  <c r="AQ47" i="13"/>
  <c r="AQ46" i="13"/>
  <c r="Y22" i="38"/>
  <c r="Y21" i="38"/>
  <c r="Y20" i="38"/>
  <c r="AW60" i="28"/>
  <c r="V13" i="28"/>
  <c r="V7" i="28"/>
  <c r="AO38" i="10"/>
  <c r="W51" i="10"/>
  <c r="AO51" i="10"/>
  <c r="AO62" i="10"/>
  <c r="AO63" i="10"/>
  <c r="AO56" i="13"/>
  <c r="AO8" i="13"/>
  <c r="AO35" i="13"/>
  <c r="AO7" i="13"/>
  <c r="AO27" i="13"/>
  <c r="AO55" i="13"/>
  <c r="AO87" i="13"/>
  <c r="AO41" i="38"/>
  <c r="X26" i="28"/>
  <c r="F16" i="28"/>
  <c r="T8" i="28"/>
  <c r="T14" i="28"/>
  <c r="N8" i="28"/>
  <c r="N11" i="28"/>
  <c r="X11" i="28" s="1"/>
  <c r="N14" i="28"/>
  <c r="X14" i="28" s="1"/>
  <c r="Y7" i="28"/>
  <c r="Y13" i="28"/>
  <c r="AH21" i="28"/>
  <c r="AH27" i="28"/>
  <c r="AU16" i="28"/>
  <c r="AV16" i="28"/>
  <c r="AW23" i="28"/>
  <c r="AT29" i="28"/>
  <c r="AU36" i="28"/>
  <c r="AS36" i="28"/>
  <c r="AS62" i="28"/>
  <c r="AT42" i="28"/>
  <c r="AU52" i="28"/>
  <c r="AU54" i="28"/>
  <c r="W61" i="28"/>
  <c r="AW61" i="28"/>
  <c r="AV62" i="28"/>
  <c r="AU67" i="28"/>
  <c r="AX62" i="28"/>
  <c r="AC66" i="28"/>
  <c r="AX66" i="28" s="1"/>
  <c r="AK16" i="28"/>
  <c r="V10" i="28"/>
  <c r="AO34" i="10"/>
  <c r="W34" i="10"/>
  <c r="AP58" i="10"/>
  <c r="AA41" i="17"/>
  <c r="AW41" i="17"/>
  <c r="AW50" i="17"/>
  <c r="Z50" i="17"/>
  <c r="N12" i="23"/>
  <c r="W12" i="23"/>
  <c r="AP40" i="23"/>
  <c r="T40" i="23"/>
  <c r="T49" i="23"/>
  <c r="AP49" i="23"/>
  <c r="Z36" i="23"/>
  <c r="AR36" i="23"/>
  <c r="Z54" i="23"/>
  <c r="AS54" i="23"/>
  <c r="AR54" i="23"/>
  <c r="AP62" i="23"/>
  <c r="AQ69" i="23"/>
  <c r="Z62" i="23"/>
  <c r="AS62" i="23" s="1"/>
  <c r="AR62" i="23"/>
  <c r="Z80" i="23"/>
  <c r="AS80" i="23" s="1"/>
  <c r="AR80" i="23"/>
  <c r="AP99" i="23"/>
  <c r="T90" i="23"/>
  <c r="AP90" i="23"/>
  <c r="AP98" i="23"/>
  <c r="T98" i="23"/>
  <c r="Z103" i="23"/>
  <c r="AR103" i="23"/>
  <c r="X47" i="17"/>
  <c r="Z47" i="17" s="1"/>
  <c r="W17" i="17"/>
  <c r="W12" i="17"/>
  <c r="W10" i="17"/>
  <c r="N9" i="17"/>
  <c r="X9" i="17" s="1"/>
  <c r="N18" i="17"/>
  <c r="X18" i="17" s="1"/>
  <c r="N20" i="17"/>
  <c r="AW35" i="17"/>
  <c r="U7" i="17"/>
  <c r="W16" i="23"/>
  <c r="N16" i="23"/>
  <c r="T53" i="23"/>
  <c r="AQ53" i="23" s="1"/>
  <c r="AP53" i="23"/>
  <c r="AS42" i="23"/>
  <c r="Z49" i="23"/>
  <c r="AR49" i="23"/>
  <c r="T66" i="23"/>
  <c r="AP66" i="23"/>
  <c r="T79" i="23"/>
  <c r="AP79" i="23"/>
  <c r="Z75" i="23"/>
  <c r="AR75" i="23"/>
  <c r="AP115" i="23"/>
  <c r="T115" i="23"/>
  <c r="N20" i="23"/>
  <c r="X20" i="23" s="1"/>
  <c r="W20" i="23"/>
  <c r="N27" i="23"/>
  <c r="W27" i="23"/>
  <c r="AP41" i="23"/>
  <c r="AP50" i="23"/>
  <c r="AP35" i="23"/>
  <c r="T35" i="23"/>
  <c r="Z44" i="23"/>
  <c r="AS44" i="23"/>
  <c r="AR44" i="23"/>
  <c r="T61" i="23"/>
  <c r="AP61" i="23"/>
  <c r="AS64" i="23"/>
  <c r="Z70" i="23"/>
  <c r="AS70" i="23" s="1"/>
  <c r="AR70" i="23"/>
  <c r="AP92" i="23"/>
  <c r="T92" i="23"/>
  <c r="AQ92" i="23" s="1"/>
  <c r="T101" i="23"/>
  <c r="AP101" i="23"/>
  <c r="Z86" i="23"/>
  <c r="AS86" i="23" s="1"/>
  <c r="AR86" i="23"/>
  <c r="AP123" i="23"/>
  <c r="T123" i="23"/>
  <c r="AR119" i="23"/>
  <c r="Z119" i="23"/>
  <c r="AS119" i="23" s="1"/>
  <c r="AO29" i="10"/>
  <c r="AO53" i="10"/>
  <c r="AP29" i="10"/>
  <c r="AP53" i="10"/>
  <c r="AN41" i="10"/>
  <c r="AM26" i="10"/>
  <c r="AO40" i="10"/>
  <c r="AJ50" i="10"/>
  <c r="AO58" i="10"/>
  <c r="AL62" i="10"/>
  <c r="AL64" i="10"/>
  <c r="Y47" i="17"/>
  <c r="AA47" i="17" s="1"/>
  <c r="W26" i="17"/>
  <c r="AW108" i="17"/>
  <c r="AU56" i="17"/>
  <c r="AU108" i="17"/>
  <c r="AP34" i="17"/>
  <c r="AK34" i="17"/>
  <c r="AV132" i="17"/>
  <c r="T43" i="23"/>
  <c r="AP43" i="23"/>
  <c r="T55" i="23"/>
  <c r="AP55" i="23"/>
  <c r="AS34" i="23"/>
  <c r="Z40" i="23"/>
  <c r="AR40" i="23"/>
  <c r="AS51" i="23"/>
  <c r="T72" i="23"/>
  <c r="AQ72" i="23" s="1"/>
  <c r="AP72" i="23"/>
  <c r="Z66" i="23"/>
  <c r="AS66" i="23"/>
  <c r="AR66" i="23"/>
  <c r="AP87" i="23"/>
  <c r="T87" i="23"/>
  <c r="T95" i="23"/>
  <c r="AP95" i="23"/>
  <c r="Z94" i="23"/>
  <c r="AR94" i="23"/>
  <c r="AP133" i="23"/>
  <c r="T133" i="23"/>
  <c r="AQ133" i="23" s="1"/>
  <c r="AR128" i="23"/>
  <c r="Z128" i="23"/>
  <c r="AU41" i="27"/>
  <c r="W41" i="27"/>
  <c r="AV41" i="27" s="1"/>
  <c r="W54" i="27"/>
  <c r="AU54" i="27"/>
  <c r="AC36" i="27"/>
  <c r="AX36" i="27" s="1"/>
  <c r="AW36" i="27"/>
  <c r="Z98" i="23"/>
  <c r="AR98" i="23"/>
  <c r="T119" i="23"/>
  <c r="AP119" i="23"/>
  <c r="Z123" i="23"/>
  <c r="AS123" i="23" s="1"/>
  <c r="AR123" i="23"/>
  <c r="AJ55" i="23"/>
  <c r="AJ50" i="23"/>
  <c r="AJ45" i="23"/>
  <c r="AJ41" i="23"/>
  <c r="AJ37" i="23"/>
  <c r="AJ30" i="23"/>
  <c r="AI51" i="23"/>
  <c r="AI46" i="23"/>
  <c r="AI42" i="23"/>
  <c r="AI38" i="23"/>
  <c r="AI34" i="23"/>
  <c r="AJ105" i="23"/>
  <c r="AJ99" i="23"/>
  <c r="AJ95" i="23"/>
  <c r="AJ91" i="23"/>
  <c r="AJ87" i="23"/>
  <c r="AO82" i="23"/>
  <c r="AR108" i="23"/>
  <c r="AN108" i="23"/>
  <c r="AL129" i="23"/>
  <c r="AL124" i="23"/>
  <c r="AL120" i="23"/>
  <c r="AL116" i="23"/>
  <c r="AL112" i="23"/>
  <c r="AS82" i="23"/>
  <c r="AJ53" i="23"/>
  <c r="AJ47" i="23"/>
  <c r="AJ43" i="23"/>
  <c r="AJ39" i="23"/>
  <c r="AJ35" i="23"/>
  <c r="AI54" i="23"/>
  <c r="AI49" i="23"/>
  <c r="AI44" i="23"/>
  <c r="AI40" i="23"/>
  <c r="AI36" i="23"/>
  <c r="AJ107" i="23"/>
  <c r="AJ102" i="23"/>
  <c r="AJ97" i="23"/>
  <c r="AJ93" i="23"/>
  <c r="AJ89" i="23"/>
  <c r="AJ82" i="23"/>
  <c r="AO56" i="23"/>
  <c r="AP108" i="23"/>
  <c r="AL132" i="23"/>
  <c r="AL127" i="23"/>
  <c r="AL122" i="23"/>
  <c r="AL118" i="23"/>
  <c r="AL114" i="23"/>
  <c r="Z90" i="23"/>
  <c r="AS90" i="23" s="1"/>
  <c r="AR90" i="23"/>
  <c r="T128" i="23"/>
  <c r="AP128" i="23"/>
  <c r="Z115" i="23"/>
  <c r="AS115" i="23" s="1"/>
  <c r="AR115" i="23"/>
  <c r="Z133" i="23"/>
  <c r="AR133" i="23"/>
  <c r="AX75" i="27"/>
  <c r="W89" i="27"/>
  <c r="AU89" i="27"/>
  <c r="W102" i="27"/>
  <c r="AV102" i="27" s="1"/>
  <c r="AU102" i="27"/>
  <c r="W50" i="27"/>
  <c r="AV50" i="27" s="1"/>
  <c r="AU50" i="27"/>
  <c r="AC89" i="27"/>
  <c r="AX89" i="27" s="1"/>
  <c r="AW89" i="27"/>
  <c r="AC102" i="27"/>
  <c r="AX102" i="27" s="1"/>
  <c r="AW102" i="27"/>
  <c r="W119" i="27"/>
  <c r="AV119" i="27" s="1"/>
  <c r="AU119" i="27"/>
  <c r="W128" i="27"/>
  <c r="AU128" i="27"/>
  <c r="N22" i="22"/>
  <c r="X22" i="22" s="1"/>
  <c r="W22" i="22"/>
  <c r="S41" i="22"/>
  <c r="AH41" i="22"/>
  <c r="S65" i="22"/>
  <c r="AH65" i="22"/>
  <c r="S92" i="22"/>
  <c r="AI92" i="22" s="1"/>
  <c r="AH92" i="22"/>
  <c r="AU107" i="27"/>
  <c r="W93" i="27"/>
  <c r="AW107" i="27"/>
  <c r="AC93" i="27"/>
  <c r="AX93" i="27" s="1"/>
  <c r="W115" i="27"/>
  <c r="W123" i="27"/>
  <c r="W133" i="27"/>
  <c r="AV133" i="27" s="1"/>
  <c r="U123" i="22"/>
  <c r="W123" i="22"/>
  <c r="U118" i="22"/>
  <c r="AH46" i="22"/>
  <c r="S50" i="22"/>
  <c r="AH50" i="22"/>
  <c r="S63" i="22"/>
  <c r="AH63" i="22"/>
  <c r="AH102" i="22"/>
  <c r="AH25" i="16"/>
  <c r="R25" i="16"/>
  <c r="AF25" i="16"/>
  <c r="AO7" i="9"/>
  <c r="U110" i="22"/>
  <c r="T115" i="22" s="1"/>
  <c r="V115" i="22" s="1"/>
  <c r="Y7" i="9"/>
  <c r="AS5" i="9"/>
  <c r="AS6" i="9"/>
  <c r="Y5" i="9"/>
  <c r="AO5" i="9"/>
  <c r="AW117" i="27"/>
  <c r="AW125" i="27"/>
  <c r="U131" i="22"/>
  <c r="W131" i="22" s="1"/>
  <c r="U125" i="22"/>
  <c r="U120" i="22"/>
  <c r="U117" i="22"/>
  <c r="U115" i="22"/>
  <c r="W115" i="22" s="1"/>
  <c r="S79" i="22"/>
  <c r="AH79" i="22"/>
  <c r="U8" i="9"/>
  <c r="V8" i="9"/>
  <c r="U122" i="22"/>
  <c r="U119" i="22"/>
  <c r="U133" i="22"/>
  <c r="S61" i="22"/>
  <c r="AH61" i="22"/>
  <c r="AH94" i="22"/>
  <c r="S94" i="22"/>
  <c r="S119" i="22"/>
  <c r="AH119" i="22"/>
  <c r="S128" i="22"/>
  <c r="AH128" i="22"/>
  <c r="AG6" i="16"/>
  <c r="Q6" i="16"/>
  <c r="S37" i="22"/>
  <c r="AI37" i="22" s="1"/>
  <c r="S45" i="22"/>
  <c r="S55" i="22"/>
  <c r="AH73" i="22"/>
  <c r="S86" i="22"/>
  <c r="S117" i="22"/>
  <c r="AH117" i="22"/>
  <c r="S125" i="22"/>
  <c r="W125" i="22" s="1"/>
  <c r="AH125" i="22"/>
  <c r="AD5" i="16"/>
  <c r="R5" i="16"/>
  <c r="O24" i="16"/>
  <c r="O3" i="16"/>
  <c r="AE24" i="16"/>
  <c r="T25" i="16"/>
  <c r="S21" i="16"/>
  <c r="S22" i="16"/>
  <c r="W19" i="16"/>
  <c r="W15" i="16"/>
  <c r="W11" i="16"/>
  <c r="W7" i="16"/>
  <c r="AB3" i="16"/>
  <c r="AG3" i="16"/>
  <c r="AB9" i="16"/>
  <c r="AB13" i="16"/>
  <c r="AB17" i="16"/>
  <c r="AB5" i="16"/>
  <c r="U23" i="16"/>
  <c r="S13" i="16"/>
  <c r="G3" i="16"/>
  <c r="Z13" i="16"/>
  <c r="Z5" i="16"/>
  <c r="E21" i="16"/>
  <c r="X5" i="16"/>
  <c r="S6" i="16"/>
  <c r="V13" i="16"/>
  <c r="X17" i="16"/>
  <c r="V18" i="16"/>
  <c r="E3" i="16"/>
  <c r="J3" i="16"/>
  <c r="R3" i="16"/>
  <c r="O23" i="16"/>
  <c r="AD3" i="16"/>
  <c r="AE23" i="16"/>
  <c r="T23" i="16"/>
  <c r="S23" i="16"/>
  <c r="Y3" i="16"/>
  <c r="W16" i="16"/>
  <c r="W10" i="16"/>
  <c r="W5" i="16"/>
  <c r="AH3" i="16"/>
  <c r="AB10" i="16"/>
  <c r="AB15" i="16"/>
  <c r="AB20" i="16"/>
  <c r="U22" i="16"/>
  <c r="S3" i="16"/>
  <c r="Z14" i="16"/>
  <c r="Z3" i="16"/>
  <c r="T5" i="16"/>
  <c r="X12" i="16"/>
  <c r="X14" i="16"/>
  <c r="X15" i="16"/>
  <c r="V17" i="16"/>
  <c r="X18" i="16"/>
  <c r="I3" i="16"/>
  <c r="T3" i="16"/>
  <c r="O13" i="16"/>
  <c r="AC3" i="16"/>
  <c r="T22" i="16"/>
  <c r="T21" i="16"/>
  <c r="W20" i="16"/>
  <c r="W14" i="16"/>
  <c r="W9" i="16"/>
  <c r="W3" i="16"/>
  <c r="AB6" i="16"/>
  <c r="AB11" i="16"/>
  <c r="AB16" i="16"/>
  <c r="U21" i="16"/>
  <c r="AA3" i="16"/>
  <c r="P3" i="16"/>
  <c r="Z10" i="16"/>
  <c r="G21" i="16"/>
  <c r="V5" i="16"/>
  <c r="T6" i="16"/>
  <c r="V9" i="16"/>
  <c r="V10" i="16"/>
  <c r="X20" i="16"/>
  <c r="D3" i="16"/>
  <c r="K3" i="16"/>
  <c r="N10" i="16"/>
  <c r="O10" i="16" s="1"/>
  <c r="AC10" i="16"/>
  <c r="V12" i="9"/>
  <c r="Q25" i="16"/>
  <c r="O22" i="16"/>
  <c r="O11" i="16"/>
  <c r="AE58" i="27" s="1"/>
  <c r="N7" i="16"/>
  <c r="O7" i="16" s="1"/>
  <c r="AC14" i="16"/>
  <c r="U12" i="9"/>
  <c r="R13" i="9"/>
  <c r="AP13" i="9"/>
  <c r="R10" i="9"/>
  <c r="AQ10" i="9" s="1"/>
  <c r="S121" i="22"/>
  <c r="AH121" i="22"/>
  <c r="S131" i="22"/>
  <c r="AI131" i="22" s="1"/>
  <c r="AH131" i="22"/>
  <c r="AQ12" i="9"/>
  <c r="AC106" i="22"/>
  <c r="AC96" i="22"/>
  <c r="AC88" i="22"/>
  <c r="AG56" i="22"/>
  <c r="AC51" i="22"/>
  <c r="AC46" i="22"/>
  <c r="AC42" i="22"/>
  <c r="AC38" i="22"/>
  <c r="AC34" i="22"/>
  <c r="AB53" i="22"/>
  <c r="AB47" i="22"/>
  <c r="N12" i="16"/>
  <c r="O12" i="16" s="1"/>
  <c r="X5" i="9"/>
  <c r="N16" i="16"/>
  <c r="O16" i="16" s="1"/>
  <c r="AC6" i="16"/>
  <c r="V6" i="9"/>
  <c r="P5" i="22"/>
  <c r="Q5" i="22"/>
  <c r="Q5" i="10"/>
  <c r="R5" i="10"/>
  <c r="R22" i="16"/>
  <c r="P5" i="27"/>
  <c r="S5" i="25"/>
  <c r="AD13" i="16"/>
  <c r="U84" i="23"/>
  <c r="V102" i="23" s="1"/>
  <c r="X102" i="23" s="1"/>
  <c r="AG24" i="16"/>
  <c r="AF24" i="16"/>
  <c r="AH24" i="16"/>
  <c r="R24" i="16"/>
  <c r="AG25" i="16"/>
  <c r="T132" i="22"/>
  <c r="V132" i="22"/>
  <c r="T127" i="22"/>
  <c r="T116" i="22"/>
  <c r="T118" i="22"/>
  <c r="T120" i="22"/>
  <c r="T124" i="22"/>
  <c r="T112" i="22"/>
  <c r="T117" i="22"/>
  <c r="V117" i="22" s="1"/>
  <c r="T131" i="22"/>
  <c r="T123" i="22"/>
  <c r="V123" i="22"/>
  <c r="T129" i="22"/>
  <c r="V129" i="22" s="1"/>
  <c r="T114" i="22"/>
  <c r="T121" i="22"/>
  <c r="T113" i="22"/>
  <c r="T119" i="22"/>
  <c r="AV123" i="27"/>
  <c r="U10" i="9"/>
  <c r="AV128" i="27"/>
  <c r="AQ95" i="23"/>
  <c r="AQ101" i="23"/>
  <c r="AQ61" i="23"/>
  <c r="AQ79" i="23"/>
  <c r="AQ40" i="23"/>
  <c r="X8" i="28"/>
  <c r="AP20" i="13"/>
  <c r="Z20" i="13"/>
  <c r="Y39" i="13"/>
  <c r="AP39" i="13"/>
  <c r="AP92" i="29"/>
  <c r="AR72" i="29"/>
  <c r="AP13" i="29"/>
  <c r="AD58" i="27"/>
  <c r="AE79" i="27" s="1"/>
  <c r="X36" i="10"/>
  <c r="U36" i="24"/>
  <c r="AD37" i="28"/>
  <c r="Y36" i="10"/>
  <c r="AA20" i="25"/>
  <c r="AB22" i="25" s="1"/>
  <c r="AE15" i="18"/>
  <c r="AN15" i="45"/>
  <c r="AM15" i="45"/>
  <c r="AN17" i="45" s="1"/>
  <c r="R11" i="16"/>
  <c r="AI65" i="22"/>
  <c r="AQ119" i="23"/>
  <c r="AS128" i="23"/>
  <c r="AQ35" i="23"/>
  <c r="AQ115" i="23"/>
  <c r="AS49" i="23"/>
  <c r="AS36" i="23"/>
  <c r="AB22" i="38"/>
  <c r="AV65" i="28"/>
  <c r="AV60" i="28"/>
  <c r="Y80" i="13"/>
  <c r="Y31" i="13"/>
  <c r="AP8" i="29"/>
  <c r="AT13" i="9"/>
  <c r="AR13" i="9"/>
  <c r="AD10" i="16"/>
  <c r="R10" i="16"/>
  <c r="AI86" i="22"/>
  <c r="AI128" i="22"/>
  <c r="AT12" i="9"/>
  <c r="AC16" i="16"/>
  <c r="Q24" i="16"/>
  <c r="AI121" i="22"/>
  <c r="AH23" i="16"/>
  <c r="AF23" i="16"/>
  <c r="R23" i="16"/>
  <c r="AV54" i="27"/>
  <c r="AS94" i="23"/>
  <c r="AQ87" i="23"/>
  <c r="AS40" i="23"/>
  <c r="X27" i="23"/>
  <c r="AS75" i="23"/>
  <c r="AQ66" i="23"/>
  <c r="X16" i="23"/>
  <c r="X20" i="17"/>
  <c r="AP34" i="10"/>
  <c r="AP51" i="10"/>
  <c r="R8" i="38"/>
  <c r="O8" i="38"/>
  <c r="AR39" i="29"/>
  <c r="AP75" i="29"/>
  <c r="AP82" i="29"/>
  <c r="AR33" i="29"/>
  <c r="AP44" i="29"/>
  <c r="AI79" i="22"/>
  <c r="AV93" i="27"/>
  <c r="AS133" i="23"/>
  <c r="AQ128" i="23"/>
  <c r="AS98" i="23"/>
  <c r="AQ55" i="23"/>
  <c r="W55" i="23"/>
  <c r="AQ123" i="23"/>
  <c r="AS103" i="23"/>
  <c r="AQ90" i="23"/>
  <c r="AQ49" i="23"/>
  <c r="X12" i="23"/>
  <c r="AR20" i="38"/>
  <c r="AC20" i="38"/>
  <c r="AB20" i="38"/>
  <c r="W43" i="38"/>
  <c r="X43" i="38"/>
  <c r="AP43" i="38"/>
  <c r="AP96" i="29"/>
  <c r="AP55" i="29"/>
  <c r="AP67" i="29"/>
  <c r="AP22" i="29"/>
  <c r="AP63" i="29"/>
  <c r="S8" i="25"/>
  <c r="T38" i="25"/>
  <c r="T32" i="25"/>
  <c r="T43" i="25"/>
  <c r="S12" i="25"/>
  <c r="S13" i="25"/>
  <c r="S22" i="25"/>
  <c r="S23" i="25"/>
  <c r="S27" i="25"/>
  <c r="T7" i="25"/>
  <c r="S43" i="25"/>
  <c r="T33" i="25"/>
  <c r="T22" i="25"/>
  <c r="T12" i="25"/>
  <c r="T8" i="25"/>
  <c r="S37" i="25"/>
  <c r="T28" i="25"/>
  <c r="T23" i="25"/>
  <c r="Q10" i="27"/>
  <c r="Q12" i="27"/>
  <c r="P17" i="27"/>
  <c r="Q18" i="27"/>
  <c r="P24" i="27"/>
  <c r="P27" i="27"/>
  <c r="P10" i="27"/>
  <c r="Q13" i="27"/>
  <c r="P18" i="27"/>
  <c r="Q19" i="27"/>
  <c r="Q27" i="27"/>
  <c r="P28" i="27"/>
  <c r="Q8" i="10"/>
  <c r="S8" i="10" s="1"/>
  <c r="R11" i="10"/>
  <c r="T11" i="10" s="1"/>
  <c r="P21" i="10"/>
  <c r="Q14" i="10"/>
  <c r="S14" i="10"/>
  <c r="R8" i="10"/>
  <c r="Q11" i="10"/>
  <c r="S11" i="10" s="1"/>
  <c r="P26" i="10"/>
  <c r="Q13" i="10"/>
  <c r="S13" i="10" s="1"/>
  <c r="R14" i="10"/>
  <c r="T14" i="10"/>
  <c r="P8" i="10"/>
  <c r="P7" i="10"/>
  <c r="P22" i="10"/>
  <c r="R7" i="10"/>
  <c r="T7" i="10" s="1"/>
  <c r="P20" i="10"/>
  <c r="P27" i="10"/>
  <c r="R13" i="10"/>
  <c r="T13" i="10" s="1"/>
  <c r="P11" i="10"/>
  <c r="P10" i="10"/>
  <c r="Q10" i="22"/>
  <c r="P12" i="22"/>
  <c r="Q14" i="22"/>
  <c r="S14" i="22" s="1"/>
  <c r="P16" i="22"/>
  <c r="R16" i="22" s="1"/>
  <c r="Q18" i="22"/>
  <c r="P20" i="22"/>
  <c r="R20" i="22" s="1"/>
  <c r="P26" i="22"/>
  <c r="R26" i="22" s="1"/>
  <c r="Q28" i="22"/>
  <c r="Q7" i="22"/>
  <c r="S7" i="22" s="1"/>
  <c r="Q11" i="22"/>
  <c r="S11" i="22" s="1"/>
  <c r="P13" i="22"/>
  <c r="R13" i="22" s="1"/>
  <c r="Q15" i="22"/>
  <c r="Q19" i="22"/>
  <c r="S19" i="22" s="1"/>
  <c r="P22" i="22"/>
  <c r="R22" i="22" s="1"/>
  <c r="P27" i="22"/>
  <c r="R27" i="22" s="1"/>
  <c r="Q8" i="22"/>
  <c r="S8" i="22" s="1"/>
  <c r="P10" i="22"/>
  <c r="P14" i="22"/>
  <c r="R14" i="22"/>
  <c r="Q16" i="22"/>
  <c r="S16" i="22" s="1"/>
  <c r="Q20" i="22"/>
  <c r="S20" i="22" s="1"/>
  <c r="P23" i="22"/>
  <c r="P28" i="22"/>
  <c r="P7" i="22"/>
  <c r="R7" i="22" s="1"/>
  <c r="P11" i="22"/>
  <c r="R11" i="22" s="1"/>
  <c r="Q13" i="22"/>
  <c r="S13" i="22" s="1"/>
  <c r="P15" i="22"/>
  <c r="P19" i="22"/>
  <c r="R19" i="22" s="1"/>
  <c r="Q22" i="22"/>
  <c r="S22" i="22" s="1"/>
  <c r="Q27" i="22"/>
  <c r="S27" i="22" s="1"/>
  <c r="AE63" i="27"/>
  <c r="AE65" i="27"/>
  <c r="AE67" i="27"/>
  <c r="AE69" i="27"/>
  <c r="AE71" i="27"/>
  <c r="AE73" i="27"/>
  <c r="AE60" i="27"/>
  <c r="AE77" i="27"/>
  <c r="AE75" i="27"/>
  <c r="AG75" i="27" s="1"/>
  <c r="AE62" i="27"/>
  <c r="AN18" i="45"/>
  <c r="AQ17" i="45"/>
  <c r="AM17" i="45"/>
  <c r="AP17" i="45" s="1"/>
  <c r="AA22" i="25"/>
  <c r="AA23" i="25"/>
  <c r="AB23" i="25"/>
  <c r="AD7" i="16"/>
  <c r="Q7" i="16"/>
  <c r="R7" i="16"/>
  <c r="AD32" i="27"/>
  <c r="AE32" i="27"/>
  <c r="AD37" i="27" s="1"/>
  <c r="AB32" i="23"/>
  <c r="AA47" i="23" s="1"/>
  <c r="AA32" i="23"/>
  <c r="AD32" i="17"/>
  <c r="AE32" i="17"/>
  <c r="AD50" i="17" s="1"/>
  <c r="AF50" i="17" s="1"/>
  <c r="U24" i="24"/>
  <c r="X24" i="10"/>
  <c r="Y24" i="10"/>
  <c r="AD18" i="28"/>
  <c r="AE27" i="28" s="1"/>
  <c r="AG27" i="28" s="1"/>
  <c r="AE24" i="28"/>
  <c r="T24" i="24"/>
  <c r="U26" i="24" s="1"/>
  <c r="AE18" i="28"/>
  <c r="AD24" i="28"/>
  <c r="AE5" i="18"/>
  <c r="AE10" i="18"/>
  <c r="AA10" i="25"/>
  <c r="AD5" i="18"/>
  <c r="AE7" i="18" s="1"/>
  <c r="AB10" i="25"/>
  <c r="AD10" i="18"/>
  <c r="AN10" i="45"/>
  <c r="AM10" i="45"/>
  <c r="AM12" i="45" s="1"/>
  <c r="AN5" i="45"/>
  <c r="AM5" i="45"/>
  <c r="V96" i="23"/>
  <c r="X96" i="23" s="1"/>
  <c r="V99" i="23"/>
  <c r="V95" i="23"/>
  <c r="X95" i="23" s="1"/>
  <c r="V97" i="23"/>
  <c r="V88" i="23"/>
  <c r="V103" i="23"/>
  <c r="V94" i="23"/>
  <c r="V89" i="23"/>
  <c r="X89" i="23" s="1"/>
  <c r="AA39" i="23"/>
  <c r="AC39" i="23" s="1"/>
  <c r="AA45" i="23"/>
  <c r="AA36" i="23"/>
  <c r="AC36" i="23" s="1"/>
  <c r="AA40" i="23"/>
  <c r="AC40" i="23" s="1"/>
  <c r="AA49" i="23"/>
  <c r="AC49" i="23" s="1"/>
  <c r="AD55" i="17"/>
  <c r="AF55" i="17" s="1"/>
  <c r="AD45" i="17"/>
  <c r="AF45" i="17" s="1"/>
  <c r="AD41" i="17"/>
  <c r="AF41" i="17" s="1"/>
  <c r="AD37" i="17"/>
  <c r="AF37" i="17" s="1"/>
  <c r="AD49" i="17"/>
  <c r="AF49" i="17" s="1"/>
  <c r="AD44" i="17"/>
  <c r="AF44" i="17" s="1"/>
  <c r="AD40" i="17"/>
  <c r="AF40" i="17" s="1"/>
  <c r="AN13" i="45"/>
  <c r="AQ13" i="45" s="1"/>
  <c r="AN12" i="45"/>
  <c r="AM13" i="45"/>
  <c r="AP13" i="45"/>
  <c r="AA12" i="25"/>
  <c r="AD26" i="28"/>
  <c r="AF26" i="28" s="1"/>
  <c r="AD27" i="28"/>
  <c r="AF27" i="28" s="1"/>
  <c r="AE36" i="17"/>
  <c r="AG36" i="17" s="1"/>
  <c r="AE40" i="17"/>
  <c r="AG40" i="17" s="1"/>
  <c r="AE35" i="17"/>
  <c r="AG35" i="17" s="1"/>
  <c r="AE39" i="17"/>
  <c r="AG39" i="17" s="1"/>
  <c r="AE38" i="17"/>
  <c r="AG38" i="17" s="1"/>
  <c r="AE42" i="17"/>
  <c r="AG42" i="17" s="1"/>
  <c r="AE41" i="17"/>
  <c r="AG41" i="17" s="1"/>
  <c r="AE55" i="27"/>
  <c r="AE35" i="27"/>
  <c r="AE53" i="27"/>
  <c r="AE36" i="27"/>
  <c r="AG36" i="27" s="1"/>
  <c r="AE49" i="27"/>
  <c r="AE37" i="27"/>
  <c r="AE42" i="27"/>
  <c r="AE46" i="27"/>
  <c r="AD8" i="18"/>
  <c r="AD7" i="18"/>
  <c r="AE8" i="18"/>
  <c r="AE28" i="28"/>
  <c r="AE20" i="28"/>
  <c r="AG20" i="28" s="1"/>
  <c r="AE26" i="28"/>
  <c r="AG26" i="28" s="1"/>
  <c r="AE21" i="28"/>
  <c r="AG21" i="28" s="1"/>
  <c r="AE22" i="28"/>
  <c r="AD39" i="27"/>
  <c r="AD41" i="27"/>
  <c r="AD43" i="27"/>
  <c r="AD45" i="27"/>
  <c r="AD50" i="27"/>
  <c r="AD53" i="27"/>
  <c r="AD34" i="27"/>
  <c r="AD36" i="27"/>
  <c r="AF36" i="27" s="1"/>
  <c r="AD38" i="27"/>
  <c r="AF38" i="27" s="1"/>
  <c r="AD40" i="27"/>
  <c r="AD44" i="27"/>
  <c r="AD46" i="27"/>
  <c r="AD51" i="27"/>
  <c r="AD54" i="27"/>
  <c r="AD35" i="27"/>
  <c r="AN8" i="45"/>
  <c r="AD13" i="18"/>
  <c r="AG13" i="18" s="1"/>
  <c r="AB49" i="23"/>
  <c r="AD49" i="23" s="1"/>
  <c r="AB47" i="23"/>
  <c r="AD47" i="23" s="1"/>
  <c r="AC95" i="13"/>
  <c r="AF95" i="13" s="1"/>
  <c r="AB99" i="13"/>
  <c r="AE99" i="13" s="1"/>
  <c r="AC91" i="13"/>
  <c r="AF91" i="13" s="1"/>
  <c r="AB92" i="13"/>
  <c r="AB94" i="13"/>
  <c r="AE94" i="13" s="1"/>
  <c r="AB96" i="13"/>
  <c r="AE96" i="13" s="1"/>
  <c r="AB95" i="13"/>
  <c r="AE95" i="13" s="1"/>
  <c r="AB98" i="13"/>
  <c r="AE98" i="13" s="1"/>
  <c r="AC99" i="13"/>
  <c r="AF99" i="13" s="1"/>
  <c r="AI117" i="22"/>
  <c r="AI45" i="22"/>
  <c r="AI94" i="22"/>
  <c r="AL38" i="46"/>
  <c r="AK34" i="46"/>
  <c r="AK31" i="46"/>
  <c r="AL34" i="46"/>
  <c r="AK37" i="46"/>
  <c r="AL37" i="46"/>
  <c r="AK39" i="46"/>
  <c r="AK32" i="46"/>
  <c r="AL33" i="46"/>
  <c r="AL63" i="46"/>
  <c r="AL55" i="46"/>
  <c r="AK59" i="46"/>
  <c r="AK55" i="46"/>
  <c r="AL58" i="46"/>
  <c r="AK61" i="46"/>
  <c r="AL59" i="46"/>
  <c r="AK63" i="46"/>
  <c r="AK57" i="46"/>
  <c r="AL61" i="46"/>
  <c r="V41" i="13"/>
  <c r="AR16" i="12"/>
  <c r="AL82" i="46"/>
  <c r="AK87" i="46"/>
  <c r="AK82" i="46"/>
  <c r="AL84" i="46"/>
  <c r="AL79" i="46"/>
  <c r="AK83" i="46"/>
  <c r="AL86" i="46"/>
  <c r="AL80" i="46"/>
  <c r="AK84" i="46"/>
  <c r="AL81" i="46"/>
  <c r="AK86" i="46"/>
  <c r="V7" i="19"/>
  <c r="Y7" i="19" s="1"/>
  <c r="V8" i="19"/>
  <c r="Y8" i="19" s="1"/>
  <c r="V9" i="19"/>
  <c r="V10" i="19"/>
  <c r="Y10" i="19" s="1"/>
  <c r="V11" i="19"/>
  <c r="V12" i="19"/>
  <c r="Y12" i="19" s="1"/>
  <c r="V13" i="19"/>
  <c r="Y13" i="19" s="1"/>
  <c r="V14" i="19"/>
  <c r="Y14" i="19" s="1"/>
  <c r="V15" i="19"/>
  <c r="Y15" i="19" s="1"/>
  <c r="U7" i="19"/>
  <c r="X7" i="19" s="1"/>
  <c r="U8" i="19"/>
  <c r="X8" i="19" s="1"/>
  <c r="U9" i="19"/>
  <c r="U10" i="19"/>
  <c r="X10" i="19" s="1"/>
  <c r="U11" i="19"/>
  <c r="U12" i="19"/>
  <c r="X12" i="19" s="1"/>
  <c r="U13" i="19"/>
  <c r="X13" i="19" s="1"/>
  <c r="U14" i="19"/>
  <c r="X14" i="19" s="1"/>
  <c r="U15" i="19"/>
  <c r="X15" i="19" s="1"/>
  <c r="AD20" i="46"/>
  <c r="AC19" i="46"/>
  <c r="AC22" i="46"/>
  <c r="AD22" i="46"/>
  <c r="AC21" i="46"/>
  <c r="AD24" i="46"/>
  <c r="AC24" i="46"/>
  <c r="AD26" i="46"/>
  <c r="AC27" i="46"/>
  <c r="AC48" i="46"/>
  <c r="AC43" i="46"/>
  <c r="AD51" i="46"/>
  <c r="AD49" i="46"/>
  <c r="AD47" i="46"/>
  <c r="AD45" i="46"/>
  <c r="AD43" i="46"/>
  <c r="AC50" i="46"/>
  <c r="AC45" i="46"/>
  <c r="AD50" i="46"/>
  <c r="AD48" i="46"/>
  <c r="AD46" i="46"/>
  <c r="AD44" i="46"/>
  <c r="AC51" i="46"/>
  <c r="U35" i="23"/>
  <c r="W35" i="23" s="1"/>
  <c r="U39" i="23"/>
  <c r="U42" i="23"/>
  <c r="W42" i="23" s="1"/>
  <c r="U46" i="23"/>
  <c r="W46" i="23" s="1"/>
  <c r="U49" i="23"/>
  <c r="W49" i="23" s="1"/>
  <c r="U53" i="23"/>
  <c r="W53" i="23" s="1"/>
  <c r="U38" i="23"/>
  <c r="W38" i="23" s="1"/>
  <c r="U43" i="23"/>
  <c r="U47" i="23"/>
  <c r="U54" i="23"/>
  <c r="W54" i="23" s="1"/>
  <c r="AL95" i="19"/>
  <c r="AN95" i="19"/>
  <c r="T94" i="19"/>
  <c r="AU94" i="19" s="1"/>
  <c r="AP94" i="19"/>
  <c r="AK92" i="19"/>
  <c r="AI92" i="19"/>
  <c r="T91" i="19"/>
  <c r="AN91" i="19"/>
  <c r="AN97" i="19"/>
  <c r="AK97" i="19"/>
  <c r="AN96" i="19"/>
  <c r="AK96" i="19"/>
  <c r="AP93" i="19"/>
  <c r="T93" i="19"/>
  <c r="AU93" i="19" s="1"/>
  <c r="AI34" i="17"/>
  <c r="AO34" i="17"/>
  <c r="AT108" i="17"/>
  <c r="AT30" i="17"/>
  <c r="AW43" i="17"/>
  <c r="AV108" i="17"/>
  <c r="AV53" i="17"/>
  <c r="AV43" i="17"/>
  <c r="AV35" i="17"/>
  <c r="N26" i="17"/>
  <c r="N19" i="17"/>
  <c r="X19" i="17" s="1"/>
  <c r="N17" i="17"/>
  <c r="N12" i="17"/>
  <c r="N10" i="17"/>
  <c r="X10" i="17" s="1"/>
  <c r="N8" i="17"/>
  <c r="W3" i="17"/>
  <c r="T8" i="17"/>
  <c r="Y8" i="17"/>
  <c r="Y9" i="17"/>
  <c r="Y10" i="17"/>
  <c r="Y11" i="17"/>
  <c r="Y12" i="17"/>
  <c r="W13" i="17"/>
  <c r="V14" i="17"/>
  <c r="U15" i="17"/>
  <c r="U16" i="17"/>
  <c r="T17" i="17"/>
  <c r="T18" i="17"/>
  <c r="T19" i="17"/>
  <c r="T20" i="17"/>
  <c r="T22" i="17"/>
  <c r="Y22" i="17"/>
  <c r="W23" i="17"/>
  <c r="V24" i="17"/>
  <c r="V26" i="17"/>
  <c r="V27" i="17"/>
  <c r="AL30" i="17"/>
  <c r="AV133" i="17"/>
  <c r="AM34" i="17"/>
  <c r="AR34" i="17"/>
  <c r="AU82" i="17"/>
  <c r="AW82" i="17"/>
  <c r="AW53" i="17"/>
  <c r="AV56" i="17"/>
  <c r="AV47" i="17"/>
  <c r="AV39" i="17"/>
  <c r="N27" i="17"/>
  <c r="W20" i="17"/>
  <c r="W18" i="17"/>
  <c r="N11" i="17"/>
  <c r="W9" i="17"/>
  <c r="N7" i="17"/>
  <c r="V7" i="17"/>
  <c r="V8" i="17"/>
  <c r="U9" i="17"/>
  <c r="U10" i="17"/>
  <c r="U11" i="17"/>
  <c r="U12" i="17"/>
  <c r="U13" i="17"/>
  <c r="T14" i="17"/>
  <c r="Y14" i="17"/>
  <c r="Y15" i="17"/>
  <c r="W16" i="17"/>
  <c r="V17" i="17"/>
  <c r="V18" i="17"/>
  <c r="V19" i="17"/>
  <c r="V20" i="17"/>
  <c r="V22" i="17"/>
  <c r="U23" i="17"/>
  <c r="T24" i="17"/>
  <c r="T26" i="17"/>
  <c r="T27" i="17"/>
  <c r="AJ49" i="23"/>
  <c r="AJ40" i="23"/>
  <c r="AI55" i="23"/>
  <c r="AI45" i="23"/>
  <c r="AI37" i="23"/>
  <c r="AJ103" i="23"/>
  <c r="AJ94" i="23"/>
  <c r="AJ86" i="23"/>
  <c r="AR131" i="23"/>
  <c r="AR113" i="23"/>
  <c r="T129" i="23"/>
  <c r="T124" i="23"/>
  <c r="T120" i="23"/>
  <c r="T116" i="23"/>
  <c r="T112" i="23"/>
  <c r="AP121" i="23"/>
  <c r="AL133" i="23"/>
  <c r="AL123" i="23"/>
  <c r="AL115" i="23"/>
  <c r="Z107" i="23"/>
  <c r="Z102" i="23"/>
  <c r="Z97" i="23"/>
  <c r="AS97" i="23" s="1"/>
  <c r="Z93" i="23"/>
  <c r="Z89" i="23"/>
  <c r="AR101" i="23"/>
  <c r="AR82" i="23"/>
  <c r="T106" i="23"/>
  <c r="T103" i="23"/>
  <c r="T91" i="23"/>
  <c r="T86" i="23"/>
  <c r="AP105" i="23"/>
  <c r="AP91" i="23"/>
  <c r="Z79" i="23"/>
  <c r="Z73" i="23"/>
  <c r="AS73" i="23" s="1"/>
  <c r="Z71" i="23"/>
  <c r="AS71" i="23" s="1"/>
  <c r="Z67" i="23"/>
  <c r="Z60" i="23"/>
  <c r="AR68" i="23"/>
  <c r="T76" i="23"/>
  <c r="T73" i="23"/>
  <c r="T60" i="23"/>
  <c r="AP75" i="23"/>
  <c r="AP68" i="23"/>
  <c r="AP56" i="23"/>
  <c r="Z47" i="23"/>
  <c r="Z45" i="23"/>
  <c r="Z38" i="23"/>
  <c r="AS38" i="23" s="1"/>
  <c r="AS30" i="23"/>
  <c r="AR38" i="23"/>
  <c r="T51" i="23"/>
  <c r="AP47" i="23"/>
  <c r="AP37" i="23"/>
  <c r="AN30" i="23"/>
  <c r="AL51" i="23"/>
  <c r="AL46" i="23"/>
  <c r="AL42" i="23"/>
  <c r="AL38" i="23"/>
  <c r="AL34" i="23"/>
  <c r="AE54" i="23"/>
  <c r="AE49" i="23"/>
  <c r="AE44" i="23"/>
  <c r="AE40" i="23"/>
  <c r="AE36" i="23"/>
  <c r="T28" i="23"/>
  <c r="T23" i="23"/>
  <c r="T18" i="23"/>
  <c r="T14" i="23"/>
  <c r="T10" i="23"/>
  <c r="T3" i="23"/>
  <c r="Y10" i="23"/>
  <c r="Y14" i="23"/>
  <c r="Y18" i="23"/>
  <c r="Y23" i="23"/>
  <c r="Y28" i="23"/>
  <c r="AG35" i="23"/>
  <c r="AM36" i="23"/>
  <c r="AK37" i="23"/>
  <c r="AF38" i="23"/>
  <c r="AM39" i="23"/>
  <c r="AG40" i="23"/>
  <c r="AF41" i="23"/>
  <c r="AK42" i="23"/>
  <c r="AG43" i="23"/>
  <c r="AG44" i="23"/>
  <c r="AF45" i="23"/>
  <c r="AK46" i="23"/>
  <c r="AF47" i="23"/>
  <c r="AM49" i="23"/>
  <c r="AG50" i="23"/>
  <c r="AF51" i="23"/>
  <c r="AK53" i="23"/>
  <c r="AG54" i="23"/>
  <c r="AM55" i="23"/>
  <c r="AG34" i="23"/>
  <c r="V24" i="23"/>
  <c r="V11" i="23"/>
  <c r="V15" i="23"/>
  <c r="V19" i="23"/>
  <c r="V3" i="23"/>
  <c r="N28" i="23"/>
  <c r="N10" i="23"/>
  <c r="N14" i="23"/>
  <c r="N18" i="23"/>
  <c r="N9" i="23"/>
  <c r="X9" i="23" s="1"/>
  <c r="X3" i="23"/>
  <c r="W9" i="23"/>
  <c r="U12" i="23"/>
  <c r="U15" i="23"/>
  <c r="W18" i="23"/>
  <c r="U23" i="23"/>
  <c r="V26" i="23"/>
  <c r="U28" i="23"/>
  <c r="Y108" i="23"/>
  <c r="Y56" i="23"/>
  <c r="S108" i="23"/>
  <c r="S56" i="23"/>
  <c r="Q108" i="23"/>
  <c r="Q30" i="23"/>
  <c r="P82" i="23"/>
  <c r="F3" i="23"/>
  <c r="K3" i="23"/>
  <c r="Q3" i="23"/>
  <c r="E30" i="23"/>
  <c r="K30" i="23"/>
  <c r="X30" i="23"/>
  <c r="AD30" i="23"/>
  <c r="V56" i="23"/>
  <c r="AB56" i="23"/>
  <c r="V82" i="23"/>
  <c r="AB82" i="23"/>
  <c r="V108" i="23"/>
  <c r="AB108" i="23"/>
  <c r="AJ51" i="23"/>
  <c r="AJ42" i="23"/>
  <c r="AJ34" i="23"/>
  <c r="AI47" i="23"/>
  <c r="AI39" i="23"/>
  <c r="AJ106" i="23"/>
  <c r="AJ96" i="23"/>
  <c r="AJ88" i="23"/>
  <c r="Z131" i="23"/>
  <c r="Z125" i="23"/>
  <c r="AS125" i="23" s="1"/>
  <c r="Z121" i="23"/>
  <c r="Z117" i="23"/>
  <c r="Z113" i="23"/>
  <c r="AS108" i="23"/>
  <c r="AR117" i="23"/>
  <c r="T132" i="23"/>
  <c r="T127" i="23"/>
  <c r="T122" i="23"/>
  <c r="AQ122" i="23" s="1"/>
  <c r="T118" i="23"/>
  <c r="AQ118" i="23" s="1"/>
  <c r="T114" i="23"/>
  <c r="AQ114" i="23" s="1"/>
  <c r="AP125" i="23"/>
  <c r="AO108" i="23"/>
  <c r="AL125" i="23"/>
  <c r="AL117" i="23"/>
  <c r="AR106" i="23"/>
  <c r="AR88" i="23"/>
  <c r="AJ54" i="23"/>
  <c r="AJ44" i="23"/>
  <c r="AJ36" i="23"/>
  <c r="AI50" i="23"/>
  <c r="AI41" i="23"/>
  <c r="AI30" i="23"/>
  <c r="AJ98" i="23"/>
  <c r="AJ90" i="23"/>
  <c r="AN56" i="23"/>
  <c r="Z129" i="23"/>
  <c r="AS129" i="23" s="1"/>
  <c r="Z124" i="23"/>
  <c r="Z120" i="23"/>
  <c r="Z116" i="23"/>
  <c r="Z112" i="23"/>
  <c r="AR121" i="23"/>
  <c r="AP131" i="23"/>
  <c r="AP113" i="23"/>
  <c r="AL128" i="23"/>
  <c r="AL119" i="23"/>
  <c r="AL108" i="23"/>
  <c r="Z106" i="23"/>
  <c r="Z101" i="23"/>
  <c r="Z96" i="23"/>
  <c r="Z92" i="23"/>
  <c r="Z88" i="23"/>
  <c r="AR92" i="23"/>
  <c r="T107" i="23"/>
  <c r="T105" i="23"/>
  <c r="T99" i="23"/>
  <c r="T94" i="23"/>
  <c r="AQ94" i="23" s="1"/>
  <c r="AQ82" i="23"/>
  <c r="AP96" i="23"/>
  <c r="AP86" i="23"/>
  <c r="Z77" i="23"/>
  <c r="Z72" i="23"/>
  <c r="Z61" i="23"/>
  <c r="AS61" i="23" s="1"/>
  <c r="AR77" i="23"/>
  <c r="AR60" i="23"/>
  <c r="T77" i="23"/>
  <c r="T75" i="23"/>
  <c r="T65" i="23"/>
  <c r="AP80" i="23"/>
  <c r="AP70" i="23"/>
  <c r="AP64" i="23"/>
  <c r="Z55" i="23"/>
  <c r="AS55" i="23" s="1"/>
  <c r="Z46" i="23"/>
  <c r="Z39" i="23"/>
  <c r="Z37" i="23"/>
  <c r="AS37" i="23" s="1"/>
  <c r="AR46" i="23"/>
  <c r="AR30" i="23"/>
  <c r="T47" i="23"/>
  <c r="T39" i="23"/>
  <c r="AQ30" i="23"/>
  <c r="AP44" i="23"/>
  <c r="AP30" i="23"/>
  <c r="AL54" i="23"/>
  <c r="AL49" i="23"/>
  <c r="AL44" i="23"/>
  <c r="AL40" i="23"/>
  <c r="AL36" i="23"/>
  <c r="AH30" i="23"/>
  <c r="AE51" i="23"/>
  <c r="AE46" i="23"/>
  <c r="AE42" i="23"/>
  <c r="AE38" i="23"/>
  <c r="AE34" i="23"/>
  <c r="T26" i="23"/>
  <c r="T20" i="23"/>
  <c r="T16" i="23"/>
  <c r="T12" i="23"/>
  <c r="T8" i="23"/>
  <c r="Y8" i="23"/>
  <c r="Y12" i="23"/>
  <c r="Y16" i="23"/>
  <c r="Y20" i="23"/>
  <c r="Y26" i="23"/>
  <c r="Y3" i="23"/>
  <c r="AM35" i="23"/>
  <c r="AG36" i="23"/>
  <c r="AF37" i="23"/>
  <c r="AK38" i="23"/>
  <c r="AG39" i="23"/>
  <c r="AM40" i="23"/>
  <c r="AK41" i="23"/>
  <c r="AF42" i="23"/>
  <c r="AM43" i="23"/>
  <c r="AM44" i="23"/>
  <c r="AK45" i="23"/>
  <c r="AF46" i="23"/>
  <c r="AK47" i="23"/>
  <c r="AG49" i="23"/>
  <c r="AM50" i="23"/>
  <c r="AK51" i="23"/>
  <c r="AF53" i="23"/>
  <c r="AM54" i="23"/>
  <c r="AG55" i="23"/>
  <c r="AM34" i="23"/>
  <c r="V9" i="23"/>
  <c r="V13" i="23"/>
  <c r="V17" i="23"/>
  <c r="V8" i="23"/>
  <c r="N26" i="23"/>
  <c r="N22" i="23"/>
  <c r="N13" i="23"/>
  <c r="N17" i="23"/>
  <c r="N8" i="23"/>
  <c r="U8" i="23"/>
  <c r="W10" i="23"/>
  <c r="U14" i="23"/>
  <c r="U17" i="23"/>
  <c r="U20" i="23"/>
  <c r="U24" i="23"/>
  <c r="U27" i="23"/>
  <c r="W28" i="23"/>
  <c r="Y82" i="23"/>
  <c r="Y30" i="23"/>
  <c r="S82" i="23"/>
  <c r="S30" i="23"/>
  <c r="Q82" i="23"/>
  <c r="P30" i="23"/>
  <c r="M30" i="23"/>
  <c r="H3" i="23"/>
  <c r="N3" i="23"/>
  <c r="S3" i="23"/>
  <c r="G30" i="23"/>
  <c r="V30" i="23"/>
  <c r="AB30" i="23"/>
  <c r="AG30" i="23"/>
  <c r="X56" i="23"/>
  <c r="AD56" i="23"/>
  <c r="X82" i="23"/>
  <c r="AD82" i="23"/>
  <c r="X108" i="23"/>
  <c r="AD108" i="23"/>
  <c r="AQ7" i="25"/>
  <c r="AG3" i="25"/>
  <c r="AT3" i="25"/>
  <c r="AN98" i="19"/>
  <c r="AK95" i="19"/>
  <c r="AP95" i="19"/>
  <c r="AM94" i="19"/>
  <c r="AB94" i="19"/>
  <c r="AN92" i="19"/>
  <c r="AP91" i="19"/>
  <c r="AM97" i="19"/>
  <c r="AP96" i="19"/>
  <c r="AM93" i="19"/>
  <c r="U43" i="18"/>
  <c r="U90" i="19" s="1"/>
  <c r="AC43" i="18"/>
  <c r="AC42" i="18"/>
  <c r="U50" i="23"/>
  <c r="W50" i="23"/>
  <c r="AQ44" i="23"/>
  <c r="AF12" i="45"/>
  <c r="AI12" i="45" s="1"/>
  <c r="AQ95" i="19"/>
  <c r="AB95" i="19"/>
  <c r="AK94" i="19"/>
  <c r="AI94" i="19"/>
  <c r="T92" i="19"/>
  <c r="AU92" i="19" s="1"/>
  <c r="AP92" i="19"/>
  <c r="AM91" i="19"/>
  <c r="T97" i="19"/>
  <c r="T96" i="19"/>
  <c r="AU96" i="19" s="1"/>
  <c r="U45" i="23"/>
  <c r="W45" i="23" s="1"/>
  <c r="U44" i="23"/>
  <c r="W44" i="23" s="1"/>
  <c r="U41" i="23"/>
  <c r="W41" i="23" s="1"/>
  <c r="H3" i="25"/>
  <c r="V3" i="25"/>
  <c r="AZ59" i="46"/>
  <c r="AV30" i="17"/>
  <c r="AV50" i="17"/>
  <c r="AW39" i="17"/>
  <c r="AW56" i="17"/>
  <c r="AS34" i="17"/>
  <c r="AH34" i="17"/>
  <c r="U34" i="23"/>
  <c r="W34" i="23" s="1"/>
  <c r="U40" i="23"/>
  <c r="W40" i="23" s="1"/>
  <c r="U37" i="23"/>
  <c r="W37" i="23" s="1"/>
  <c r="T97" i="23"/>
  <c r="AQ97" i="23" s="1"/>
  <c r="AR96" i="23"/>
  <c r="Z95" i="23"/>
  <c r="AS95" i="23" s="1"/>
  <c r="AL131" i="23"/>
  <c r="T113" i="23"/>
  <c r="T131" i="23"/>
  <c r="AR125" i="23"/>
  <c r="Z118" i="23"/>
  <c r="AJ101" i="23"/>
  <c r="AJ38" i="23"/>
  <c r="AI69" i="22"/>
  <c r="AI73" i="22"/>
  <c r="AH108" i="22"/>
  <c r="AH116" i="22"/>
  <c r="AH123" i="22"/>
  <c r="AH132" i="22"/>
  <c r="S122" i="22"/>
  <c r="W122" i="22" s="1"/>
  <c r="S124" i="22"/>
  <c r="AB36" i="22"/>
  <c r="AB40" i="22"/>
  <c r="AB44" i="22"/>
  <c r="AB50" i="22"/>
  <c r="AC30" i="22"/>
  <c r="AC39" i="22"/>
  <c r="AC44" i="22"/>
  <c r="AC50" i="22"/>
  <c r="AG82" i="22"/>
  <c r="AC92" i="22"/>
  <c r="AC103" i="22"/>
  <c r="U124" i="22"/>
  <c r="AG108" i="22"/>
  <c r="AH115" i="22"/>
  <c r="AH122" i="22"/>
  <c r="AH129" i="22"/>
  <c r="S112" i="22"/>
  <c r="AI112" i="22" s="1"/>
  <c r="S113" i="22"/>
  <c r="S116" i="22"/>
  <c r="AI116" i="22" s="1"/>
  <c r="S127" i="22"/>
  <c r="AI127" i="22" s="1"/>
  <c r="S133" i="22"/>
  <c r="W133" i="22" s="1"/>
  <c r="AB35" i="22"/>
  <c r="AB39" i="22"/>
  <c r="AB43" i="22"/>
  <c r="AB49" i="22"/>
  <c r="AB55" i="22"/>
  <c r="AC37" i="22"/>
  <c r="AC43" i="22"/>
  <c r="AC49" i="22"/>
  <c r="AC55" i="22"/>
  <c r="AC90" i="22"/>
  <c r="AI122" i="22"/>
  <c r="AQ132" i="23"/>
  <c r="AQ103" i="23"/>
  <c r="X11" i="17"/>
  <c r="X26" i="17"/>
  <c r="X22" i="23"/>
  <c r="AQ47" i="23"/>
  <c r="AS39" i="23"/>
  <c r="AQ77" i="23"/>
  <c r="AS72" i="23"/>
  <c r="AQ107" i="23"/>
  <c r="AS96" i="23"/>
  <c r="AS124" i="23"/>
  <c r="AQ127" i="23"/>
  <c r="AS113" i="23"/>
  <c r="AS131" i="23"/>
  <c r="X10" i="23"/>
  <c r="AS47" i="23"/>
  <c r="AQ60" i="23"/>
  <c r="AS60" i="23"/>
  <c r="AS79" i="23"/>
  <c r="AQ91" i="23"/>
  <c r="AS102" i="23"/>
  <c r="AQ120" i="23"/>
  <c r="X27" i="17"/>
  <c r="X8" i="17"/>
  <c r="V116" i="22"/>
  <c r="AQ113" i="23"/>
  <c r="AS107" i="23"/>
  <c r="W44" i="13"/>
  <c r="Z44" i="13" s="1"/>
  <c r="W47" i="13"/>
  <c r="Z47" i="13" s="1"/>
  <c r="V48" i="13"/>
  <c r="Y48" i="13" s="1"/>
  <c r="V46" i="13"/>
  <c r="Y46" i="13" s="1"/>
  <c r="W48" i="13"/>
  <c r="Z48" i="13" s="1"/>
  <c r="W50" i="13"/>
  <c r="Z50" i="13" s="1"/>
  <c r="W43" i="13"/>
  <c r="Z43" i="13" s="1"/>
  <c r="W45" i="13"/>
  <c r="Z45" i="13" s="1"/>
  <c r="V49" i="13"/>
  <c r="Y49" i="13" s="1"/>
  <c r="V51" i="13"/>
  <c r="Y51" i="13" s="1"/>
  <c r="V50" i="13"/>
  <c r="Y50" i="13" s="1"/>
  <c r="W49" i="13"/>
  <c r="Z49" i="13" s="1"/>
  <c r="W46" i="13"/>
  <c r="Z46" i="13" s="1"/>
  <c r="V47" i="13"/>
  <c r="Y47" i="13" s="1"/>
  <c r="V44" i="13"/>
  <c r="Y44" i="13" s="1"/>
  <c r="V45" i="13"/>
  <c r="Y45" i="13" s="1"/>
  <c r="V43" i="13"/>
  <c r="Y43" i="13" s="1"/>
  <c r="W51" i="13"/>
  <c r="Z51" i="13" s="1"/>
  <c r="W112" i="22"/>
  <c r="W39" i="23"/>
  <c r="AS120" i="23"/>
  <c r="AS45" i="23"/>
  <c r="X17" i="17"/>
  <c r="AU91" i="19"/>
  <c r="AI113" i="22"/>
  <c r="V113" i="22"/>
  <c r="AS118" i="23"/>
  <c r="AU97" i="19"/>
  <c r="AK43" i="18"/>
  <c r="AS88" i="23"/>
  <c r="X18" i="23"/>
  <c r="AQ106" i="23"/>
  <c r="AQ112" i="23"/>
  <c r="W124" i="22" l="1"/>
  <c r="AI124" i="22"/>
  <c r="V124" i="22"/>
  <c r="X13" i="23"/>
  <c r="AQ105" i="23"/>
  <c r="X14" i="23"/>
  <c r="AC45" i="23"/>
  <c r="AQ86" i="23"/>
  <c r="AQ75" i="23"/>
  <c r="AY43" i="18"/>
  <c r="X17" i="23"/>
  <c r="AQ65" i="23"/>
  <c r="AQ99" i="23"/>
  <c r="AS116" i="23"/>
  <c r="AS121" i="23"/>
  <c r="AQ76" i="23"/>
  <c r="AS93" i="23"/>
  <c r="AQ129" i="23"/>
  <c r="AV89" i="27"/>
  <c r="AQ43" i="23"/>
  <c r="AQ98" i="23"/>
  <c r="W43" i="23"/>
  <c r="AB13" i="25"/>
  <c r="AA13" i="25"/>
  <c r="AB12" i="25"/>
  <c r="AD20" i="28"/>
  <c r="AF20" i="28" s="1"/>
  <c r="AD21" i="28"/>
  <c r="AF21" i="28" s="1"/>
  <c r="AD22" i="28"/>
  <c r="AE44" i="17"/>
  <c r="AG44" i="17" s="1"/>
  <c r="AE49" i="17"/>
  <c r="AG49" i="17" s="1"/>
  <c r="AE47" i="17"/>
  <c r="AG47" i="17" s="1"/>
  <c r="AE46" i="17"/>
  <c r="AG46" i="17" s="1"/>
  <c r="AE45" i="17"/>
  <c r="AG45" i="17" s="1"/>
  <c r="AE54" i="17"/>
  <c r="AG54" i="17" s="1"/>
  <c r="AE53" i="17"/>
  <c r="AG53" i="17" s="1"/>
  <c r="AE51" i="17"/>
  <c r="AG51" i="17" s="1"/>
  <c r="AE55" i="17"/>
  <c r="AG55" i="17" s="1"/>
  <c r="AE43" i="27"/>
  <c r="AG43" i="27" s="1"/>
  <c r="AE39" i="27"/>
  <c r="AE40" i="27"/>
  <c r="AE41" i="27"/>
  <c r="AE51" i="27"/>
  <c r="AE47" i="27"/>
  <c r="AE44" i="27"/>
  <c r="AE50" i="27"/>
  <c r="AQ39" i="23"/>
  <c r="AQ51" i="23"/>
  <c r="AQ116" i="23"/>
  <c r="X12" i="17"/>
  <c r="W51" i="23"/>
  <c r="AS92" i="23"/>
  <c r="AS106" i="23"/>
  <c r="AF34" i="27"/>
  <c r="AM7" i="45"/>
  <c r="AP7" i="45" s="1"/>
  <c r="AM8" i="45"/>
  <c r="AD12" i="18"/>
  <c r="AG12" i="18" s="1"/>
  <c r="AE12" i="18"/>
  <c r="AB36" i="23"/>
  <c r="AD36" i="23" s="1"/>
  <c r="AB35" i="23"/>
  <c r="AD35" i="23" s="1"/>
  <c r="AB45" i="23"/>
  <c r="AD45" i="23" s="1"/>
  <c r="AB46" i="23"/>
  <c r="AI41" i="22"/>
  <c r="S27" i="27"/>
  <c r="Y84" i="27"/>
  <c r="X42" i="10"/>
  <c r="Y50" i="28"/>
  <c r="AB25" i="25"/>
  <c r="AF30" i="45"/>
  <c r="W30" i="18"/>
  <c r="X84" i="27"/>
  <c r="X84" i="17"/>
  <c r="Y42" i="10"/>
  <c r="AA25" i="25"/>
  <c r="AF25" i="45"/>
  <c r="AE25" i="45"/>
  <c r="V84" i="23"/>
  <c r="X50" i="28"/>
  <c r="V30" i="18"/>
  <c r="R13" i="16"/>
  <c r="Y84" i="17"/>
  <c r="AE30" i="45"/>
  <c r="Q13" i="16"/>
  <c r="X44" i="28"/>
  <c r="Y44" i="28"/>
  <c r="AC21" i="38"/>
  <c r="AB21" i="38"/>
  <c r="AR21" i="38"/>
  <c r="T79" i="19"/>
  <c r="AT79" i="19"/>
  <c r="T85" i="19"/>
  <c r="AT85" i="19"/>
  <c r="W28" i="22"/>
  <c r="N28" i="22"/>
  <c r="X23" i="22"/>
  <c r="R23" i="22"/>
  <c r="X11" i="19"/>
  <c r="V90" i="23"/>
  <c r="X90" i="23" s="1"/>
  <c r="V107" i="23"/>
  <c r="X107" i="23" s="1"/>
  <c r="V106" i="23"/>
  <c r="X106" i="23" s="1"/>
  <c r="AC47" i="23"/>
  <c r="R24" i="27"/>
  <c r="W25" i="18"/>
  <c r="AD46" i="23"/>
  <c r="X103" i="23"/>
  <c r="Y11" i="19"/>
  <c r="V98" i="23"/>
  <c r="X98" i="23" s="1"/>
  <c r="V86" i="23"/>
  <c r="V101" i="23"/>
  <c r="X101" i="23" s="1"/>
  <c r="V25" i="18"/>
  <c r="P9" i="27"/>
  <c r="P13" i="27"/>
  <c r="Q20" i="27"/>
  <c r="Q26" i="27"/>
  <c r="P8" i="27"/>
  <c r="P12" i="27"/>
  <c r="P16" i="27"/>
  <c r="P20" i="27"/>
  <c r="P26" i="27"/>
  <c r="P11" i="27"/>
  <c r="Q16" i="27"/>
  <c r="P22" i="27"/>
  <c r="Q28" i="27"/>
  <c r="Q11" i="27"/>
  <c r="Q17" i="27"/>
  <c r="P23" i="27"/>
  <c r="P7" i="27"/>
  <c r="Q14" i="27"/>
  <c r="P19" i="27"/>
  <c r="Q7" i="27"/>
  <c r="P14" i="27"/>
  <c r="Q22" i="27"/>
  <c r="Q8" i="27"/>
  <c r="P15" i="27"/>
  <c r="Q23" i="27"/>
  <c r="Q9" i="27"/>
  <c r="Q15" i="27"/>
  <c r="Q24" i="27"/>
  <c r="S42" i="25"/>
  <c r="S7" i="25"/>
  <c r="S18" i="25"/>
  <c r="S28" i="25"/>
  <c r="S38" i="25"/>
  <c r="T17" i="25"/>
  <c r="T42" i="25"/>
  <c r="T18" i="25"/>
  <c r="T37" i="25"/>
  <c r="S17" i="25"/>
  <c r="S33" i="25"/>
  <c r="T27" i="25"/>
  <c r="S32" i="25"/>
  <c r="T13" i="25"/>
  <c r="AF22" i="16"/>
  <c r="P5" i="23"/>
  <c r="P5" i="28"/>
  <c r="Q10" i="28" s="1"/>
  <c r="S10" i="28" s="1"/>
  <c r="T5" i="25"/>
  <c r="AH22" i="16"/>
  <c r="Q5" i="23"/>
  <c r="Q5" i="28"/>
  <c r="W5" i="45"/>
  <c r="Q22" i="16"/>
  <c r="AI22" i="16" s="1"/>
  <c r="Q5" i="27"/>
  <c r="X5" i="45"/>
  <c r="AG23" i="16"/>
  <c r="Q5" i="17"/>
  <c r="S8" i="38"/>
  <c r="X8" i="38"/>
  <c r="S28" i="22"/>
  <c r="P5" i="17"/>
  <c r="AI61" i="22"/>
  <c r="Y14" i="10"/>
  <c r="P14" i="10"/>
  <c r="P8" i="22"/>
  <c r="R8" i="22" s="1"/>
  <c r="Q23" i="22"/>
  <c r="S23" i="22" s="1"/>
  <c r="P9" i="22"/>
  <c r="R9" i="22" s="1"/>
  <c r="P17" i="22"/>
  <c r="R17" i="22" s="1"/>
  <c r="Q24" i="22"/>
  <c r="S24" i="22" s="1"/>
  <c r="Q12" i="22"/>
  <c r="P18" i="22"/>
  <c r="Q26" i="22"/>
  <c r="S26" i="22" s="1"/>
  <c r="Q9" i="22"/>
  <c r="S9" i="22" s="1"/>
  <c r="Q17" i="22"/>
  <c r="S17" i="22" s="1"/>
  <c r="P24" i="22"/>
  <c r="R24" i="22" s="1"/>
  <c r="AC7" i="16"/>
  <c r="Q10" i="16"/>
  <c r="AC22" i="38"/>
  <c r="AR22" i="38"/>
  <c r="Z80" i="13"/>
  <c r="AP80" i="13"/>
  <c r="AN56" i="46"/>
  <c r="AK11" i="46"/>
  <c r="AL8" i="46"/>
  <c r="AL12" i="46"/>
  <c r="AK7" i="46"/>
  <c r="AK13" i="46"/>
  <c r="AN13" i="46" s="1"/>
  <c r="AL9" i="46"/>
  <c r="AL13" i="46"/>
  <c r="AO13" i="46" s="1"/>
  <c r="AD28" i="45"/>
  <c r="AC54" i="46" s="1"/>
  <c r="BJ28" i="45"/>
  <c r="U66" i="46"/>
  <c r="BI33" i="45"/>
  <c r="AD32" i="45"/>
  <c r="BJ32" i="45"/>
  <c r="U77" i="46"/>
  <c r="BI37" i="45"/>
  <c r="BC15" i="46"/>
  <c r="T15" i="46"/>
  <c r="BD15" i="46" s="1"/>
  <c r="T32" i="19"/>
  <c r="AU32" i="19" s="1"/>
  <c r="AT32" i="19"/>
  <c r="AC29" i="19"/>
  <c r="AK18" i="18"/>
  <c r="V114" i="22"/>
  <c r="AQ13" i="9"/>
  <c r="U13" i="9"/>
  <c r="AU13" i="9" s="1"/>
  <c r="AR12" i="9"/>
  <c r="AU12" i="9" s="1"/>
  <c r="V13" i="9"/>
  <c r="U8" i="45"/>
  <c r="BH8" i="45"/>
  <c r="AC5" i="46"/>
  <c r="S31" i="29"/>
  <c r="AP31" i="29" s="1"/>
  <c r="AO31" i="29"/>
  <c r="S48" i="29"/>
  <c r="AP48" i="29" s="1"/>
  <c r="AO48" i="29"/>
  <c r="BD31" i="46"/>
  <c r="U37" i="18"/>
  <c r="AX37" i="18"/>
  <c r="AC80" i="19"/>
  <c r="AF80" i="19" s="1"/>
  <c r="AC82" i="19"/>
  <c r="AF82" i="19" s="1"/>
  <c r="AC85" i="19"/>
  <c r="AF85" i="19" s="1"/>
  <c r="AD81" i="19"/>
  <c r="AG81" i="19" s="1"/>
  <c r="AC84" i="19"/>
  <c r="AF84" i="19" s="1"/>
  <c r="AD80" i="19"/>
  <c r="AG80" i="19" s="1"/>
  <c r="T45" i="19"/>
  <c r="AU45" i="19" s="1"/>
  <c r="AT45" i="19"/>
  <c r="U65" i="19"/>
  <c r="AY32" i="18"/>
  <c r="AK33" i="18"/>
  <c r="AJ32" i="18"/>
  <c r="V131" i="22"/>
  <c r="AD99" i="46"/>
  <c r="AG99" i="46" s="1"/>
  <c r="V63" i="46"/>
  <c r="V39" i="46"/>
  <c r="AQ99" i="46"/>
  <c r="AY98" i="46"/>
  <c r="AQ97" i="46"/>
  <c r="AJ96" i="46"/>
  <c r="AJ94" i="46"/>
  <c r="AW93" i="46"/>
  <c r="AR92" i="46"/>
  <c r="AJ91" i="46"/>
  <c r="AU3" i="46"/>
  <c r="S3" i="46"/>
  <c r="AY87" i="46"/>
  <c r="AB84" i="46"/>
  <c r="BF84" i="46" s="1"/>
  <c r="AJ83" i="46"/>
  <c r="AO83" i="46" s="1"/>
  <c r="BC82" i="46"/>
  <c r="BC81" i="46"/>
  <c r="BC80" i="46"/>
  <c r="AS79" i="46"/>
  <c r="AZ75" i="46"/>
  <c r="AS74" i="46"/>
  <c r="AX73" i="46"/>
  <c r="AJ72" i="46"/>
  <c r="BE63" i="46"/>
  <c r="AQ62" i="46"/>
  <c r="AS61" i="46"/>
  <c r="AW60" i="46"/>
  <c r="AW58" i="46"/>
  <c r="AQ57" i="46"/>
  <c r="AY50" i="46"/>
  <c r="AU49" i="46"/>
  <c r="AU48" i="46"/>
  <c r="AV39" i="46"/>
  <c r="AW38" i="46"/>
  <c r="BE35" i="46"/>
  <c r="AB32" i="46"/>
  <c r="BF32" i="46" s="1"/>
  <c r="BC31" i="46"/>
  <c r="AB25" i="46"/>
  <c r="AB22" i="46"/>
  <c r="AX21" i="46"/>
  <c r="AX20" i="46"/>
  <c r="AY19" i="46"/>
  <c r="AS15" i="46"/>
  <c r="AJ14" i="46"/>
  <c r="AS12" i="46"/>
  <c r="AS11" i="46"/>
  <c r="AX7" i="46"/>
  <c r="BC19" i="46"/>
  <c r="BC79" i="46"/>
  <c r="AT83" i="19"/>
  <c r="T83" i="19"/>
  <c r="T43" i="19"/>
  <c r="AU43" i="19" s="1"/>
  <c r="AT43" i="19"/>
  <c r="AN7" i="18"/>
  <c r="AT7" i="18"/>
  <c r="AO7" i="18"/>
  <c r="AR8" i="18"/>
  <c r="AQ8" i="18"/>
  <c r="AL12" i="18"/>
  <c r="AS12" i="18"/>
  <c r="AP12" i="18"/>
  <c r="AR13" i="18"/>
  <c r="AQ13" i="18"/>
  <c r="AR17" i="18"/>
  <c r="AQ17" i="18"/>
  <c r="AL18" i="18"/>
  <c r="AS18" i="18"/>
  <c r="AP18" i="18"/>
  <c r="AL22" i="18"/>
  <c r="AS22" i="18"/>
  <c r="AP22" i="18"/>
  <c r="AL23" i="18"/>
  <c r="AS23" i="18"/>
  <c r="AP23" i="18"/>
  <c r="AN27" i="18"/>
  <c r="AT27" i="18"/>
  <c r="AO27" i="18"/>
  <c r="AN28" i="18"/>
  <c r="AM7" i="18"/>
  <c r="AU7" i="18"/>
  <c r="AL8" i="18"/>
  <c r="AS8" i="18"/>
  <c r="AP8" i="18"/>
  <c r="AN12" i="18"/>
  <c r="AT12" i="18"/>
  <c r="AO12" i="18"/>
  <c r="AL13" i="18"/>
  <c r="AS13" i="18"/>
  <c r="AP13" i="18"/>
  <c r="AL17" i="18"/>
  <c r="AS17" i="18"/>
  <c r="AP17" i="18"/>
  <c r="S99" i="29"/>
  <c r="AP99" i="29" s="1"/>
  <c r="AO99" i="29"/>
  <c r="W47" i="28"/>
  <c r="AV47" i="28" s="1"/>
  <c r="AU47" i="28"/>
  <c r="T8" i="10"/>
  <c r="AN20" i="45"/>
  <c r="AE31" i="28"/>
  <c r="AD58" i="17"/>
  <c r="T128" i="22"/>
  <c r="T133" i="22"/>
  <c r="V133" i="22" s="1"/>
  <c r="T125" i="22"/>
  <c r="V125" i="22" s="1"/>
  <c r="T122" i="22"/>
  <c r="V122" i="22" s="1"/>
  <c r="AG22" i="16"/>
  <c r="W128" i="22"/>
  <c r="Z39" i="13"/>
  <c r="AO57" i="46"/>
  <c r="Z13" i="18"/>
  <c r="AF7" i="45"/>
  <c r="AI7" i="45" s="1"/>
  <c r="AJ38" i="18"/>
  <c r="AK3" i="25"/>
  <c r="AS3" i="25"/>
  <c r="AS28" i="25"/>
  <c r="AI43" i="25"/>
  <c r="AI17" i="25"/>
  <c r="AK23" i="25"/>
  <c r="AN7" i="25"/>
  <c r="AN8" i="25"/>
  <c r="AJ17" i="25"/>
  <c r="AJ23" i="25"/>
  <c r="AN28" i="25"/>
  <c r="AN37" i="25"/>
  <c r="AS42" i="25"/>
  <c r="AQ33" i="25"/>
  <c r="AI38" i="25"/>
  <c r="AI7" i="25"/>
  <c r="AK18" i="25"/>
  <c r="AJ12" i="25"/>
  <c r="AJ18" i="25"/>
  <c r="AN23" i="25"/>
  <c r="AJ33" i="25"/>
  <c r="AQ43" i="25"/>
  <c r="U31" i="46"/>
  <c r="X31" i="46" s="1"/>
  <c r="AK10" i="46"/>
  <c r="BE91" i="46"/>
  <c r="AI3" i="46"/>
  <c r="I3" i="46"/>
  <c r="AR87" i="46"/>
  <c r="AS86" i="46"/>
  <c r="AZ85" i="46"/>
  <c r="AJ82" i="46"/>
  <c r="AO82" i="46" s="1"/>
  <c r="AJ81" i="46"/>
  <c r="AN81" i="46" s="1"/>
  <c r="BE69" i="46"/>
  <c r="AY68" i="46"/>
  <c r="AY67" i="46"/>
  <c r="AV63" i="46"/>
  <c r="BC59" i="46"/>
  <c r="AJ57" i="46"/>
  <c r="AN57" i="46" s="1"/>
  <c r="AS51" i="46"/>
  <c r="AS50" i="46"/>
  <c r="AY49" i="46"/>
  <c r="AS43" i="46"/>
  <c r="AS39" i="46"/>
  <c r="AQ35" i="46"/>
  <c r="AZ34" i="46"/>
  <c r="AU33" i="46"/>
  <c r="AY25" i="46"/>
  <c r="AX24" i="46"/>
  <c r="AX23" i="46"/>
  <c r="AY22" i="46"/>
  <c r="AR21" i="46"/>
  <c r="AW20" i="46"/>
  <c r="AB9" i="46"/>
  <c r="BF9" i="46" s="1"/>
  <c r="BC9" i="46"/>
  <c r="BC38" i="46"/>
  <c r="T45" i="46"/>
  <c r="BD45" i="46" s="1"/>
  <c r="T49" i="46"/>
  <c r="BD49" i="46" s="1"/>
  <c r="T51" i="19"/>
  <c r="AU51" i="19" s="1"/>
  <c r="AT50" i="19"/>
  <c r="AC28" i="18"/>
  <c r="S19" i="29"/>
  <c r="AP19" i="29" s="1"/>
  <c r="AO19" i="29"/>
  <c r="T21" i="29"/>
  <c r="AR21" i="29" s="1"/>
  <c r="AQ21" i="29"/>
  <c r="T71" i="29"/>
  <c r="AR71" i="29" s="1"/>
  <c r="AQ71" i="29"/>
  <c r="T85" i="29"/>
  <c r="AR85" i="29" s="1"/>
  <c r="AQ85" i="29"/>
  <c r="T98" i="29"/>
  <c r="AR98" i="29" s="1"/>
  <c r="AQ98" i="29"/>
  <c r="V30" i="13"/>
  <c r="AG14" i="12"/>
  <c r="AR15" i="12"/>
  <c r="W34" i="28"/>
  <c r="AU34" i="28"/>
  <c r="AF25" i="46"/>
  <c r="Y13" i="18"/>
  <c r="BE14" i="46"/>
  <c r="AB14" i="46"/>
  <c r="AU11" i="46"/>
  <c r="AY12" i="46"/>
  <c r="AR13" i="46"/>
  <c r="AW26" i="46"/>
  <c r="AX27" i="46"/>
  <c r="AY31" i="46"/>
  <c r="BC32" i="46"/>
  <c r="AQ33" i="46"/>
  <c r="AZ35" i="46"/>
  <c r="AW36" i="46"/>
  <c r="AU39" i="46"/>
  <c r="AY43" i="46"/>
  <c r="AS44" i="46"/>
  <c r="AU46" i="46"/>
  <c r="AY47" i="46"/>
  <c r="AS48" i="46"/>
  <c r="AU50" i="46"/>
  <c r="AY51" i="46"/>
  <c r="AS55" i="46"/>
  <c r="AV57" i="46"/>
  <c r="AX58" i="46"/>
  <c r="AY59" i="46"/>
  <c r="AU61" i="46"/>
  <c r="BC62" i="46"/>
  <c r="AQ63" i="46"/>
  <c r="AZ68" i="46"/>
  <c r="AX69" i="46"/>
  <c r="AX70" i="46"/>
  <c r="AY71" i="46"/>
  <c r="AY74" i="46"/>
  <c r="AR75" i="46"/>
  <c r="AU80" i="46"/>
  <c r="AW81" i="46"/>
  <c r="AU82" i="46"/>
  <c r="AQ83" i="46"/>
  <c r="AY84" i="46"/>
  <c r="AQ85" i="46"/>
  <c r="AX86" i="46"/>
  <c r="AZ87" i="46"/>
  <c r="M3" i="46"/>
  <c r="AA3" i="46"/>
  <c r="AN3" i="46"/>
  <c r="AZ3" i="46"/>
  <c r="AX91" i="46"/>
  <c r="AW92" i="46"/>
  <c r="AQ94" i="46"/>
  <c r="AX95" i="46"/>
  <c r="AS96" i="46"/>
  <c r="AY97" i="46"/>
  <c r="AQ98" i="46"/>
  <c r="AS99" i="46"/>
  <c r="V36" i="46"/>
  <c r="U37" i="46"/>
  <c r="V60" i="46"/>
  <c r="U58" i="46"/>
  <c r="AD98" i="46"/>
  <c r="T23" i="46"/>
  <c r="BD23" i="46" s="1"/>
  <c r="AR7" i="46"/>
  <c r="AW8" i="46"/>
  <c r="AW10" i="46"/>
  <c r="AQ11" i="46"/>
  <c r="AU12" i="46"/>
  <c r="AV13" i="46"/>
  <c r="AW14" i="46"/>
  <c r="AW32" i="46"/>
  <c r="AS33" i="46"/>
  <c r="AV35" i="46"/>
  <c r="AX36" i="46"/>
  <c r="AR37" i="46"/>
  <c r="AQ39" i="46"/>
  <c r="AU43" i="46"/>
  <c r="AY44" i="46"/>
  <c r="AS45" i="46"/>
  <c r="AU47" i="46"/>
  <c r="AY48" i="46"/>
  <c r="AS49" i="46"/>
  <c r="AU51" i="46"/>
  <c r="AY55" i="46"/>
  <c r="AR56" i="46"/>
  <c r="AS60" i="46"/>
  <c r="AV62" i="46"/>
  <c r="AX63" i="46"/>
  <c r="AV69" i="46"/>
  <c r="AY70" i="46"/>
  <c r="AZ71" i="46"/>
  <c r="AW72" i="46"/>
  <c r="AZ74" i="46"/>
  <c r="BC75" i="46"/>
  <c r="AZ79" i="46"/>
  <c r="AR80" i="46"/>
  <c r="AV81" i="46"/>
  <c r="AW83" i="46"/>
  <c r="AS85" i="46"/>
  <c r="AY86" i="46"/>
  <c r="AS87" i="46"/>
  <c r="N3" i="46"/>
  <c r="AB3" i="46"/>
  <c r="AQ3" i="46"/>
  <c r="BA3" i="46"/>
  <c r="AV92" i="46"/>
  <c r="AQ93" i="46"/>
  <c r="AW94" i="46"/>
  <c r="AU95" i="46"/>
  <c r="AX96" i="46"/>
  <c r="AZ97" i="46"/>
  <c r="AR98" i="46"/>
  <c r="AB98" i="46"/>
  <c r="AX99" i="46"/>
  <c r="AL10" i="46"/>
  <c r="V33" i="46"/>
  <c r="U34" i="46"/>
  <c r="V59" i="46"/>
  <c r="U57" i="46"/>
  <c r="AT80" i="19"/>
  <c r="T80" i="19"/>
  <c r="T44" i="19"/>
  <c r="AU44" i="19" s="1"/>
  <c r="AT44" i="19"/>
  <c r="AK32" i="18"/>
  <c r="S62" i="29"/>
  <c r="AP62" i="29" s="1"/>
  <c r="AO62" i="29"/>
  <c r="S69" i="29"/>
  <c r="AP69" i="29" s="1"/>
  <c r="AO69" i="29"/>
  <c r="S12" i="13"/>
  <c r="AP12" i="13" s="1"/>
  <c r="AO12" i="13"/>
  <c r="V18" i="13"/>
  <c r="AG9" i="12"/>
  <c r="AG10" i="12"/>
  <c r="T48" i="13"/>
  <c r="AR48" i="13" s="1"/>
  <c r="AQ48" i="13"/>
  <c r="AR28" i="38"/>
  <c r="AD28" i="38"/>
  <c r="S21" i="38"/>
  <c r="AO21" i="38"/>
  <c r="AA8" i="25"/>
  <c r="BE87" i="46"/>
  <c r="AJ84" i="46"/>
  <c r="AO84" i="46" s="1"/>
  <c r="AB57" i="46"/>
  <c r="BF57" i="46" s="1"/>
  <c r="AJ34" i="46"/>
  <c r="AO34" i="46" s="1"/>
  <c r="AB26" i="46"/>
  <c r="BC10" i="46"/>
  <c r="T43" i="46"/>
  <c r="BD43" i="46" s="1"/>
  <c r="T61" i="46"/>
  <c r="BD61" i="46" s="1"/>
  <c r="T11" i="19"/>
  <c r="AU11" i="19" s="1"/>
  <c r="AT10" i="19"/>
  <c r="T9" i="19"/>
  <c r="AU9" i="19" s="1"/>
  <c r="AT7" i="19"/>
  <c r="AC12" i="18"/>
  <c r="T74" i="29"/>
  <c r="AR74" i="29" s="1"/>
  <c r="AQ74" i="29"/>
  <c r="T34" i="13"/>
  <c r="AE34" i="13" s="1"/>
  <c r="AQ34" i="13"/>
  <c r="T82" i="13"/>
  <c r="AR82" i="13" s="1"/>
  <c r="AQ82" i="13"/>
  <c r="S96" i="13"/>
  <c r="AO96" i="13"/>
  <c r="S68" i="13"/>
  <c r="AP68" i="13" s="1"/>
  <c r="AO68" i="13"/>
  <c r="T45" i="13"/>
  <c r="AR45" i="13" s="1"/>
  <c r="AQ45" i="13"/>
  <c r="M7" i="38"/>
  <c r="W7" i="38"/>
  <c r="AS12" i="25"/>
  <c r="BE98" i="46"/>
  <c r="AJ93" i="46"/>
  <c r="AB85" i="46"/>
  <c r="BE73" i="46"/>
  <c r="AJ56" i="46"/>
  <c r="AO56" i="46" s="1"/>
  <c r="AB23" i="46"/>
  <c r="BF23" i="46" s="1"/>
  <c r="BE20" i="46"/>
  <c r="T11" i="46"/>
  <c r="BD11" i="46" s="1"/>
  <c r="T37" i="46"/>
  <c r="T58" i="46"/>
  <c r="T82" i="46"/>
  <c r="AB93" i="19"/>
  <c r="T14" i="29"/>
  <c r="AR14" i="29" s="1"/>
  <c r="AQ14" i="29"/>
  <c r="T73" i="29"/>
  <c r="AR73" i="29" s="1"/>
  <c r="AQ87" i="29"/>
  <c r="AQ79" i="29"/>
  <c r="AQ55" i="29"/>
  <c r="AQ36" i="29"/>
  <c r="AQ19" i="29"/>
  <c r="AQ8" i="29"/>
  <c r="AP3" i="29"/>
  <c r="AG96" i="29"/>
  <c r="AG92" i="29"/>
  <c r="AG85" i="29"/>
  <c r="AG81" i="29"/>
  <c r="AG74" i="29"/>
  <c r="AG70" i="29"/>
  <c r="AG63" i="29"/>
  <c r="T69" i="29"/>
  <c r="AR69" i="29" s="1"/>
  <c r="AQ96" i="29"/>
  <c r="AQ61" i="29"/>
  <c r="AQ49" i="29"/>
  <c r="AQ32" i="29"/>
  <c r="AQ3" i="29"/>
  <c r="S98" i="29"/>
  <c r="AP98" i="29" s="1"/>
  <c r="S91" i="29"/>
  <c r="AP91" i="29" s="1"/>
  <c r="S39" i="29"/>
  <c r="AP39" i="29" s="1"/>
  <c r="AG99" i="29"/>
  <c r="AG95" i="29"/>
  <c r="AG91" i="29"/>
  <c r="AG84" i="29"/>
  <c r="AG80" i="29"/>
  <c r="AG73" i="29"/>
  <c r="AG69" i="29"/>
  <c r="AG62" i="29"/>
  <c r="T35" i="38"/>
  <c r="AO35" i="38"/>
  <c r="W10" i="38"/>
  <c r="M10" i="38"/>
  <c r="W27" i="10"/>
  <c r="Z27" i="10" s="1"/>
  <c r="AO27" i="10"/>
  <c r="W38" i="17"/>
  <c r="AV38" i="17"/>
  <c r="W42" i="17"/>
  <c r="AV42" i="17"/>
  <c r="W46" i="17"/>
  <c r="AV46" i="17"/>
  <c r="W51" i="17"/>
  <c r="AV51" i="17"/>
  <c r="S36" i="13"/>
  <c r="Y36" i="13" s="1"/>
  <c r="AO36" i="13"/>
  <c r="AQ10" i="13"/>
  <c r="T10" i="13"/>
  <c r="AR10" i="13" s="1"/>
  <c r="W20" i="38"/>
  <c r="AP20" i="38"/>
  <c r="AW39" i="28"/>
  <c r="AC39" i="28"/>
  <c r="S15" i="29"/>
  <c r="AP15" i="29" s="1"/>
  <c r="S35" i="29"/>
  <c r="AP35" i="29" s="1"/>
  <c r="S50" i="29"/>
  <c r="AP50" i="29" s="1"/>
  <c r="S79" i="29"/>
  <c r="AP79" i="29" s="1"/>
  <c r="S94" i="29"/>
  <c r="AP94" i="29" s="1"/>
  <c r="T8" i="29"/>
  <c r="AR8" i="29" s="1"/>
  <c r="T12" i="29"/>
  <c r="AR12" i="29" s="1"/>
  <c r="T19" i="29"/>
  <c r="AR19" i="29" s="1"/>
  <c r="AQ22" i="29"/>
  <c r="AQ60" i="29"/>
  <c r="T79" i="29"/>
  <c r="AR79" i="29" s="1"/>
  <c r="T87" i="29"/>
  <c r="AR87" i="29" s="1"/>
  <c r="T49" i="29"/>
  <c r="AR49" i="29" s="1"/>
  <c r="AQ67" i="29"/>
  <c r="Z3" i="17"/>
  <c r="Y7" i="17"/>
  <c r="V9" i="17"/>
  <c r="V11" i="17"/>
  <c r="V13" i="17"/>
  <c r="V15" i="17"/>
  <c r="U17" i="17"/>
  <c r="U19" i="17"/>
  <c r="U22" i="17"/>
  <c r="Y23" i="17"/>
  <c r="Y26" i="17"/>
  <c r="U28" i="17"/>
  <c r="Y46" i="17"/>
  <c r="AK46" i="17"/>
  <c r="AP46" i="17"/>
  <c r="AH47" i="17"/>
  <c r="AM47" i="17"/>
  <c r="AQ47" i="17"/>
  <c r="AH49" i="17"/>
  <c r="AM49" i="17"/>
  <c r="AQ49" i="17"/>
  <c r="AH50" i="17"/>
  <c r="AM50" i="17"/>
  <c r="AQ50" i="17"/>
  <c r="Y51" i="17"/>
  <c r="AK51" i="17"/>
  <c r="AP51" i="17"/>
  <c r="Y53" i="17"/>
  <c r="AK53" i="17"/>
  <c r="AP53" i="17"/>
  <c r="AJ54" i="17"/>
  <c r="AO54" i="17"/>
  <c r="AS54" i="17"/>
  <c r="AJ55" i="17"/>
  <c r="AO55" i="17"/>
  <c r="AS55" i="17"/>
  <c r="AI35" i="17"/>
  <c r="AN35" i="17"/>
  <c r="AR35" i="17"/>
  <c r="AI36" i="17"/>
  <c r="AN36" i="17"/>
  <c r="AR36" i="17"/>
  <c r="AH37" i="17"/>
  <c r="AM37" i="17"/>
  <c r="AQ37" i="17"/>
  <c r="Y38" i="17"/>
  <c r="AK38" i="17"/>
  <c r="AP38" i="17"/>
  <c r="AJ39" i="17"/>
  <c r="AO39" i="17"/>
  <c r="AS39" i="17"/>
  <c r="AI40" i="17"/>
  <c r="AN40" i="17"/>
  <c r="AR40" i="17"/>
  <c r="AH41" i="17"/>
  <c r="AM41" i="17"/>
  <c r="AQ41" i="17"/>
  <c r="Y42" i="17"/>
  <c r="AK42" i="17"/>
  <c r="AP42" i="17"/>
  <c r="AJ43" i="17"/>
  <c r="AO43" i="17"/>
  <c r="AS43" i="17"/>
  <c r="AI44" i="17"/>
  <c r="AN44" i="17"/>
  <c r="AR44" i="17"/>
  <c r="AH45" i="17"/>
  <c r="AQ34" i="17"/>
  <c r="X3" i="17"/>
  <c r="W8" i="17"/>
  <c r="V10" i="17"/>
  <c r="V12" i="17"/>
  <c r="U14" i="17"/>
  <c r="V16" i="17"/>
  <c r="U18" i="17"/>
  <c r="U20" i="17"/>
  <c r="T23" i="17"/>
  <c r="Y24" i="17"/>
  <c r="Y27" i="17"/>
  <c r="W28" i="17"/>
  <c r="AI46" i="17"/>
  <c r="AN46" i="17"/>
  <c r="AR46" i="17"/>
  <c r="AJ47" i="17"/>
  <c r="AO47" i="17"/>
  <c r="AS47" i="17"/>
  <c r="AJ49" i="17"/>
  <c r="AO49" i="17"/>
  <c r="AS49" i="17"/>
  <c r="AJ50" i="17"/>
  <c r="AO50" i="17"/>
  <c r="AS50" i="17"/>
  <c r="AI51" i="17"/>
  <c r="AN51" i="17"/>
  <c r="AR51" i="17"/>
  <c r="AI53" i="17"/>
  <c r="AN53" i="17"/>
  <c r="AR53" i="17"/>
  <c r="AH54" i="17"/>
  <c r="AM54" i="17"/>
  <c r="AQ54" i="17"/>
  <c r="AH55" i="17"/>
  <c r="AM55" i="17"/>
  <c r="AQ55" i="17"/>
  <c r="Y35" i="17"/>
  <c r="AK35" i="17"/>
  <c r="AP35" i="17"/>
  <c r="Y36" i="17"/>
  <c r="AA36" i="17" s="1"/>
  <c r="AK36" i="17"/>
  <c r="AP36" i="17"/>
  <c r="AJ37" i="17"/>
  <c r="AO37" i="17"/>
  <c r="AS37" i="17"/>
  <c r="AI38" i="17"/>
  <c r="AN38" i="17"/>
  <c r="AR38" i="17"/>
  <c r="AH39" i="17"/>
  <c r="AM39" i="17"/>
  <c r="AQ39" i="17"/>
  <c r="Y40" i="17"/>
  <c r="AA40" i="17" s="1"/>
  <c r="AK40" i="17"/>
  <c r="AP40" i="17"/>
  <c r="AJ41" i="17"/>
  <c r="AO41" i="17"/>
  <c r="AS41" i="17"/>
  <c r="AI42" i="17"/>
  <c r="AN42" i="17"/>
  <c r="AR42" i="17"/>
  <c r="AH43" i="17"/>
  <c r="AM43" i="17"/>
  <c r="AQ43" i="17"/>
  <c r="Y44" i="17"/>
  <c r="AA44" i="17" s="1"/>
  <c r="AK44" i="17"/>
  <c r="AP44" i="17"/>
  <c r="S87" i="22"/>
  <c r="AI87" i="22" s="1"/>
  <c r="AH87" i="22"/>
  <c r="S90" i="22"/>
  <c r="AH90" i="22"/>
  <c r="S36" i="29"/>
  <c r="AP36" i="29" s="1"/>
  <c r="S51" i="29"/>
  <c r="AP51" i="29" s="1"/>
  <c r="S80" i="29"/>
  <c r="AP80" i="29" s="1"/>
  <c r="S95" i="29"/>
  <c r="AP95" i="29" s="1"/>
  <c r="AQ9" i="29"/>
  <c r="AQ13" i="29"/>
  <c r="T23" i="29"/>
  <c r="AR23" i="29" s="1"/>
  <c r="T36" i="29"/>
  <c r="AR36" i="29" s="1"/>
  <c r="AQ48" i="29"/>
  <c r="T61" i="29"/>
  <c r="AR61" i="29" s="1"/>
  <c r="AQ82" i="29"/>
  <c r="AQ93" i="29"/>
  <c r="T68" i="29"/>
  <c r="AR68" i="29" s="1"/>
  <c r="AA28" i="28"/>
  <c r="AU22" i="28"/>
  <c r="AO33" i="10"/>
  <c r="AS46" i="17"/>
  <c r="AJ46" i="17"/>
  <c r="T28" i="17"/>
  <c r="V23" i="17"/>
  <c r="Y18" i="17"/>
  <c r="T15" i="17"/>
  <c r="T11" i="17"/>
  <c r="T7" i="17"/>
  <c r="S68" i="22"/>
  <c r="AH68" i="22"/>
  <c r="S81" i="22"/>
  <c r="AH81" i="22"/>
  <c r="AO47" i="13"/>
  <c r="AR42" i="38"/>
  <c r="W28" i="28"/>
  <c r="AV28" i="28" s="1"/>
  <c r="AV45" i="17"/>
  <c r="W45" i="17"/>
  <c r="X34" i="17"/>
  <c r="Z34" i="17" s="1"/>
  <c r="X54" i="17"/>
  <c r="Z54" i="17" s="1"/>
  <c r="X39" i="17"/>
  <c r="Z39" i="17" s="1"/>
  <c r="X43" i="17"/>
  <c r="Z43" i="17" s="1"/>
  <c r="X37" i="17"/>
  <c r="Z37" i="17" s="1"/>
  <c r="X41" i="17"/>
  <c r="Z41" i="17" s="1"/>
  <c r="X45" i="17"/>
  <c r="S39" i="22"/>
  <c r="AI39" i="22" s="1"/>
  <c r="AH39" i="22"/>
  <c r="S51" i="22"/>
  <c r="AI51" i="22" s="1"/>
  <c r="AH51" i="22"/>
  <c r="N14" i="17"/>
  <c r="X14" i="17" s="1"/>
  <c r="AW47" i="17"/>
  <c r="T36" i="23"/>
  <c r="AP36" i="23"/>
  <c r="S47" i="22"/>
  <c r="AH47" i="22"/>
  <c r="S77" i="22"/>
  <c r="AH77" i="22"/>
  <c r="S118" i="22"/>
  <c r="AI118" i="22" s="1"/>
  <c r="AH118" i="22"/>
  <c r="U32" i="23"/>
  <c r="Y32" i="27"/>
  <c r="X32" i="27"/>
  <c r="U58" i="22"/>
  <c r="T58" i="22"/>
  <c r="AC34" i="27"/>
  <c r="AX34" i="27" s="1"/>
  <c r="AW34" i="27"/>
  <c r="N12" i="22"/>
  <c r="X12" i="22" s="1"/>
  <c r="W12" i="22"/>
  <c r="S34" i="22"/>
  <c r="AH34" i="22"/>
  <c r="S101" i="22"/>
  <c r="AI101" i="22" s="1"/>
  <c r="AH101" i="22"/>
  <c r="R11" i="9"/>
  <c r="N16" i="17"/>
  <c r="X16" i="17" s="1"/>
  <c r="AR42" i="23"/>
  <c r="AP117" i="23"/>
  <c r="AM98" i="27"/>
  <c r="AO121" i="27"/>
  <c r="AM39" i="27"/>
  <c r="AU108" i="27"/>
  <c r="AC69" i="27"/>
  <c r="AU30" i="27"/>
  <c r="AH41" i="27"/>
  <c r="T19" i="27"/>
  <c r="Y9" i="27"/>
  <c r="Y27" i="27"/>
  <c r="AR35" i="27"/>
  <c r="AP38" i="27"/>
  <c r="AJ41" i="27"/>
  <c r="AR43" i="27"/>
  <c r="AP46" i="27"/>
  <c r="AJ50" i="27"/>
  <c r="AR53" i="27"/>
  <c r="AP34" i="27"/>
  <c r="AR132" i="27"/>
  <c r="AR116" i="27"/>
  <c r="AR124" i="27"/>
  <c r="AR75" i="27"/>
  <c r="AR68" i="27"/>
  <c r="AR105" i="27"/>
  <c r="AR91" i="27"/>
  <c r="AR99" i="27"/>
  <c r="W16" i="27"/>
  <c r="W28" i="27"/>
  <c r="Q56" i="27"/>
  <c r="AB30" i="27"/>
  <c r="AD82" i="27"/>
  <c r="AJ30" i="27"/>
  <c r="J30" i="27"/>
  <c r="E3" i="27"/>
  <c r="AW54" i="27"/>
  <c r="AO113" i="27"/>
  <c r="AL54" i="27"/>
  <c r="AW133" i="27"/>
  <c r="W79" i="27"/>
  <c r="AV79" i="27" s="1"/>
  <c r="AC67" i="27"/>
  <c r="AX67" i="27" s="1"/>
  <c r="AH55" i="27"/>
  <c r="AH37" i="27"/>
  <c r="T15" i="27"/>
  <c r="Y13" i="27"/>
  <c r="AP36" i="27"/>
  <c r="AJ39" i="27"/>
  <c r="AR41" i="27"/>
  <c r="AP44" i="27"/>
  <c r="AJ47" i="27"/>
  <c r="AR50" i="27"/>
  <c r="AP54" i="27"/>
  <c r="AR129" i="27"/>
  <c r="AR118" i="27"/>
  <c r="AR112" i="27"/>
  <c r="AR62" i="27"/>
  <c r="AR70" i="27"/>
  <c r="AR102" i="27"/>
  <c r="AR93" i="27"/>
  <c r="W18" i="27"/>
  <c r="AB56" i="27"/>
  <c r="V82" i="27"/>
  <c r="AF108" i="27"/>
  <c r="X82" i="27"/>
  <c r="AE30" i="27"/>
  <c r="U3" i="27"/>
  <c r="AO71" i="27"/>
  <c r="V14" i="27"/>
  <c r="AW121" i="27"/>
  <c r="AC77" i="27"/>
  <c r="AC60" i="27"/>
  <c r="AX60" i="27" s="1"/>
  <c r="AH50" i="27"/>
  <c r="AH30" i="27"/>
  <c r="T11" i="27"/>
  <c r="Y17" i="27"/>
  <c r="AJ37" i="27"/>
  <c r="AR39" i="27"/>
  <c r="AP42" i="27"/>
  <c r="AJ45" i="27"/>
  <c r="AR47" i="27"/>
  <c r="AP51" i="27"/>
  <c r="AJ55" i="27"/>
  <c r="N12" i="27"/>
  <c r="X12" i="27" s="1"/>
  <c r="W3" i="27"/>
  <c r="AR127" i="27"/>
  <c r="AR120" i="27"/>
  <c r="AR80" i="27"/>
  <c r="AR64" i="27"/>
  <c r="AR72" i="27"/>
  <c r="AR87" i="27"/>
  <c r="AR95" i="27"/>
  <c r="W12" i="27"/>
  <c r="W23" i="27"/>
  <c r="AR82" i="27"/>
  <c r="AQ30" i="27"/>
  <c r="Z108" i="27"/>
  <c r="AG56" i="27"/>
  <c r="Y30" i="27"/>
  <c r="P3" i="27"/>
  <c r="S97" i="22"/>
  <c r="AI97" i="22" s="1"/>
  <c r="AH97" i="22"/>
  <c r="N18" i="16"/>
  <c r="S8" i="9"/>
  <c r="AN8" i="9"/>
  <c r="N16" i="27"/>
  <c r="AU70" i="27"/>
  <c r="AC92" i="27"/>
  <c r="AX92" i="27" s="1"/>
  <c r="AC117" i="27"/>
  <c r="AX117" i="27" s="1"/>
  <c r="S114" i="22"/>
  <c r="AI114" i="22" s="1"/>
  <c r="N20" i="16"/>
  <c r="U6" i="9"/>
  <c r="N24" i="27"/>
  <c r="X24" i="27" s="1"/>
  <c r="N27" i="27"/>
  <c r="X27" i="27" s="1"/>
  <c r="AC43" i="27"/>
  <c r="AX43" i="27" s="1"/>
  <c r="AU64" i="27"/>
  <c r="AU80" i="27"/>
  <c r="W90" i="27"/>
  <c r="AV90" i="27" s="1"/>
  <c r="AC107" i="27"/>
  <c r="W118" i="27"/>
  <c r="AV118" i="27" s="1"/>
  <c r="N15" i="16"/>
  <c r="N8" i="16"/>
  <c r="N17" i="16"/>
  <c r="N9" i="16"/>
  <c r="R5" i="9"/>
  <c r="AU36" i="27"/>
  <c r="AC40" i="27"/>
  <c r="AU68" i="27"/>
  <c r="AU72" i="27"/>
  <c r="W95" i="27"/>
  <c r="AV95" i="27" s="1"/>
  <c r="AC103" i="27"/>
  <c r="AX103" i="27" s="1"/>
  <c r="AC82" i="22"/>
  <c r="N19" i="16"/>
  <c r="U11" i="9"/>
  <c r="AI16" i="24"/>
  <c r="AH33" i="24"/>
  <c r="U27" i="24"/>
  <c r="T28" i="24"/>
  <c r="T40" i="24"/>
  <c r="T58" i="24"/>
  <c r="AF16" i="24"/>
  <c r="S22" i="24"/>
  <c r="AI22" i="24" s="1"/>
  <c r="AG59" i="24"/>
  <c r="Y21" i="24"/>
  <c r="U41" i="24"/>
  <c r="S38" i="24"/>
  <c r="AI38" i="24" s="1"/>
  <c r="W11" i="24"/>
  <c r="X23" i="24"/>
  <c r="AE56" i="24"/>
  <c r="Y63" i="46"/>
  <c r="BD63" i="46"/>
  <c r="AH8" i="45"/>
  <c r="AI8" i="45"/>
  <c r="AC6" i="46"/>
  <c r="AT8" i="45"/>
  <c r="BK8" i="45"/>
  <c r="AI47" i="22"/>
  <c r="AI72" i="22"/>
  <c r="AB40" i="23"/>
  <c r="AD40" i="23" s="1"/>
  <c r="AB41" i="23"/>
  <c r="AD41" i="23" s="1"/>
  <c r="AB50" i="23"/>
  <c r="AD50" i="23" s="1"/>
  <c r="AB42" i="23"/>
  <c r="AD42" i="23" s="1"/>
  <c r="AB43" i="23"/>
  <c r="AD43" i="23" s="1"/>
  <c r="AB39" i="23"/>
  <c r="AD39" i="23" s="1"/>
  <c r="Q10" i="10"/>
  <c r="S10" i="10" s="1"/>
  <c r="P28" i="10"/>
  <c r="Q7" i="10"/>
  <c r="S7" i="10" s="1"/>
  <c r="R10" i="10"/>
  <c r="T10" i="10" s="1"/>
  <c r="P13" i="10"/>
  <c r="W119" i="22"/>
  <c r="AI119" i="22"/>
  <c r="V119" i="22"/>
  <c r="AI50" i="22"/>
  <c r="V50" i="19"/>
  <c r="Y50" i="19" s="1"/>
  <c r="V43" i="19"/>
  <c r="V45" i="19"/>
  <c r="Y45" i="19" s="1"/>
  <c r="U44" i="19"/>
  <c r="X44" i="19" s="1"/>
  <c r="U45" i="19"/>
  <c r="X45" i="19" s="1"/>
  <c r="U47" i="19"/>
  <c r="X47" i="19" s="1"/>
  <c r="U48" i="19"/>
  <c r="X48" i="19" s="1"/>
  <c r="U49" i="19"/>
  <c r="X49" i="19" s="1"/>
  <c r="U51" i="19"/>
  <c r="X51" i="19" s="1"/>
  <c r="V49" i="19"/>
  <c r="Y49" i="19" s="1"/>
  <c r="V44" i="19"/>
  <c r="Y44" i="19" s="1"/>
  <c r="V47" i="19"/>
  <c r="Y47" i="19" s="1"/>
  <c r="U50" i="19"/>
  <c r="X50" i="19" s="1"/>
  <c r="V46" i="19"/>
  <c r="Y46" i="19" s="1"/>
  <c r="U43" i="19"/>
  <c r="X43" i="19" s="1"/>
  <c r="U46" i="19"/>
  <c r="X46" i="19" s="1"/>
  <c r="V48" i="19"/>
  <c r="Y48" i="19" s="1"/>
  <c r="V51" i="19"/>
  <c r="Y51" i="19" s="1"/>
  <c r="X7" i="17"/>
  <c r="V112" i="22"/>
  <c r="AI133" i="22"/>
  <c r="AS89" i="23"/>
  <c r="X28" i="23"/>
  <c r="AS77" i="23"/>
  <c r="AS67" i="23"/>
  <c r="AS112" i="23"/>
  <c r="X94" i="23"/>
  <c r="X8" i="23"/>
  <c r="AC89" i="19"/>
  <c r="AD49" i="27"/>
  <c r="AD42" i="27"/>
  <c r="AD55" i="27"/>
  <c r="AD47" i="27"/>
  <c r="AE38" i="27"/>
  <c r="AG38" i="27" s="1"/>
  <c r="AE45" i="27"/>
  <c r="AE54" i="27"/>
  <c r="AE34" i="27"/>
  <c r="AG34" i="27" s="1"/>
  <c r="AE50" i="17"/>
  <c r="AG50" i="17" s="1"/>
  <c r="AE37" i="17"/>
  <c r="AG37" i="17" s="1"/>
  <c r="AE34" i="17"/>
  <c r="AG34" i="17" s="1"/>
  <c r="AE43" i="17"/>
  <c r="AG43" i="17" s="1"/>
  <c r="AD28" i="28"/>
  <c r="AD36" i="17"/>
  <c r="AF36" i="17" s="1"/>
  <c r="AD54" i="17"/>
  <c r="AF54" i="17" s="1"/>
  <c r="AD65" i="27"/>
  <c r="AD69" i="27"/>
  <c r="AF69" i="27" s="1"/>
  <c r="AD71" i="27"/>
  <c r="AD64" i="27"/>
  <c r="AD70" i="27"/>
  <c r="AV115" i="27"/>
  <c r="AV61" i="28"/>
  <c r="AX59" i="28"/>
  <c r="BF99" i="46"/>
  <c r="BF10" i="46"/>
  <c r="AQ124" i="23"/>
  <c r="AS117" i="23"/>
  <c r="X26" i="23"/>
  <c r="AQ73" i="23"/>
  <c r="AS101" i="23"/>
  <c r="AK42" i="18"/>
  <c r="AD79" i="27"/>
  <c r="AD76" i="27"/>
  <c r="AD63" i="27"/>
  <c r="AD77" i="27"/>
  <c r="AF77" i="27" s="1"/>
  <c r="AD68" i="27"/>
  <c r="AD60" i="27"/>
  <c r="AD34" i="17"/>
  <c r="AF34" i="17" s="1"/>
  <c r="AD53" i="17"/>
  <c r="AF53" i="17" s="1"/>
  <c r="AD47" i="17"/>
  <c r="AF47" i="17" s="1"/>
  <c r="AD43" i="17"/>
  <c r="AF43" i="17" s="1"/>
  <c r="AD39" i="17"/>
  <c r="AF39" i="17" s="1"/>
  <c r="AD35" i="17"/>
  <c r="AF35" i="17" s="1"/>
  <c r="AD51" i="17"/>
  <c r="AF51" i="17" s="1"/>
  <c r="AD46" i="17"/>
  <c r="AF46" i="17" s="1"/>
  <c r="AD42" i="17"/>
  <c r="AF42" i="17" s="1"/>
  <c r="AD38" i="17"/>
  <c r="AF38" i="17" s="1"/>
  <c r="AD73" i="27"/>
  <c r="AD61" i="27"/>
  <c r="AD80" i="27"/>
  <c r="AD62" i="27"/>
  <c r="AC87" i="19"/>
  <c r="AF87" i="19" s="1"/>
  <c r="AC86" i="19"/>
  <c r="AF86" i="19" s="1"/>
  <c r="AC79" i="19"/>
  <c r="AF79" i="19" s="1"/>
  <c r="AC81" i="19"/>
  <c r="AF81" i="19" s="1"/>
  <c r="AD79" i="19"/>
  <c r="AG79" i="19" s="1"/>
  <c r="AD87" i="19"/>
  <c r="AG87" i="19" s="1"/>
  <c r="AD86" i="19"/>
  <c r="AG86" i="19" s="1"/>
  <c r="AD85" i="19"/>
  <c r="AG85" i="19" s="1"/>
  <c r="AD84" i="19"/>
  <c r="AG84" i="19" s="1"/>
  <c r="AD83" i="19"/>
  <c r="AG83" i="19" s="1"/>
  <c r="AD82" i="19"/>
  <c r="AG82" i="19" s="1"/>
  <c r="AU61" i="19"/>
  <c r="X61" i="19"/>
  <c r="AC54" i="19"/>
  <c r="P26" i="17"/>
  <c r="R26" i="17" s="1"/>
  <c r="P24" i="17"/>
  <c r="R24" i="17" s="1"/>
  <c r="P22" i="17"/>
  <c r="R22" i="17" s="1"/>
  <c r="Q15" i="17"/>
  <c r="S15" i="17" s="1"/>
  <c r="Q23" i="17"/>
  <c r="S23" i="17" s="1"/>
  <c r="Q7" i="17"/>
  <c r="S7" i="17" s="1"/>
  <c r="Q20" i="17"/>
  <c r="S20" i="17" s="1"/>
  <c r="P13" i="17"/>
  <c r="R13" i="17" s="1"/>
  <c r="V93" i="23"/>
  <c r="X93" i="23" s="1"/>
  <c r="V87" i="23"/>
  <c r="X87" i="23" s="1"/>
  <c r="V91" i="23"/>
  <c r="X91" i="23" s="1"/>
  <c r="V92" i="23"/>
  <c r="X92" i="23" s="1"/>
  <c r="V105" i="23"/>
  <c r="X105" i="23" s="1"/>
  <c r="AD40" i="28"/>
  <c r="AF40" i="28" s="1"/>
  <c r="AD33" i="28"/>
  <c r="AF33" i="28" s="1"/>
  <c r="AM18" i="45"/>
  <c r="P12" i="23"/>
  <c r="R12" i="23" s="1"/>
  <c r="P26" i="23"/>
  <c r="R26" i="23" s="1"/>
  <c r="Q10" i="23"/>
  <c r="S10" i="23" s="1"/>
  <c r="P20" i="23"/>
  <c r="R20" i="23" s="1"/>
  <c r="P8" i="23"/>
  <c r="R8" i="23" s="1"/>
  <c r="P16" i="23"/>
  <c r="R16" i="23" s="1"/>
  <c r="P24" i="23"/>
  <c r="R24" i="23" s="1"/>
  <c r="P14" i="23"/>
  <c r="R14" i="23" s="1"/>
  <c r="Q22" i="23"/>
  <c r="S22" i="23" s="1"/>
  <c r="P19" i="23"/>
  <c r="R19" i="23" s="1"/>
  <c r="Q12" i="23"/>
  <c r="S12" i="23" s="1"/>
  <c r="P14" i="28"/>
  <c r="R14" i="28" s="1"/>
  <c r="P13" i="28"/>
  <c r="R13" i="28" s="1"/>
  <c r="U95" i="23"/>
  <c r="W95" i="23" s="1"/>
  <c r="U102" i="23"/>
  <c r="W102" i="23" s="1"/>
  <c r="U87" i="23"/>
  <c r="W87" i="23" s="1"/>
  <c r="U97" i="23"/>
  <c r="W97" i="23" s="1"/>
  <c r="AE61" i="27"/>
  <c r="AE76" i="27"/>
  <c r="AE81" i="27"/>
  <c r="AE80" i="27"/>
  <c r="AE72" i="27"/>
  <c r="AE70" i="27"/>
  <c r="AE68" i="27"/>
  <c r="AE66" i="27"/>
  <c r="AE64" i="27"/>
  <c r="AI63" i="22"/>
  <c r="AI125" i="22"/>
  <c r="V128" i="22"/>
  <c r="AA7" i="25"/>
  <c r="AF97" i="46"/>
  <c r="AE12" i="45"/>
  <c r="AH12" i="45" s="1"/>
  <c r="AE13" i="45"/>
  <c r="BF98" i="46"/>
  <c r="AF98" i="46"/>
  <c r="AF96" i="46"/>
  <c r="BF96" i="46"/>
  <c r="BF85" i="46"/>
  <c r="AT42" i="45"/>
  <c r="AT43" i="45"/>
  <c r="BK43" i="45"/>
  <c r="BD56" i="46"/>
  <c r="BD97" i="46"/>
  <c r="AB30" i="13"/>
  <c r="AH14" i="12"/>
  <c r="AH15" i="12"/>
  <c r="AT15" i="12"/>
  <c r="AR34" i="13"/>
  <c r="AR22" i="13"/>
  <c r="AF22" i="13"/>
  <c r="AB27" i="13"/>
  <c r="AE27" i="13" s="1"/>
  <c r="AB20" i="13"/>
  <c r="AE20" i="13" s="1"/>
  <c r="AB22" i="13"/>
  <c r="AE22" i="13" s="1"/>
  <c r="AB24" i="13"/>
  <c r="AE24" i="13" s="1"/>
  <c r="AB26" i="13"/>
  <c r="AC21" i="13"/>
  <c r="AF21" i="13" s="1"/>
  <c r="AC19" i="13"/>
  <c r="AF19" i="13" s="1"/>
  <c r="AB23" i="13"/>
  <c r="AE23" i="13" s="1"/>
  <c r="AB25" i="13"/>
  <c r="AE25" i="13" s="1"/>
  <c r="AP87" i="13"/>
  <c r="Y87" i="13"/>
  <c r="AB65" i="13"/>
  <c r="V7" i="18"/>
  <c r="Y7" i="18" s="1"/>
  <c r="W8" i="18"/>
  <c r="V8" i="18"/>
  <c r="W7" i="18"/>
  <c r="Z7" i="18" s="1"/>
  <c r="X58" i="46"/>
  <c r="BD58" i="46"/>
  <c r="BD93" i="46"/>
  <c r="U5" i="46"/>
  <c r="BI7" i="45"/>
  <c r="U30" i="19"/>
  <c r="AY18" i="18"/>
  <c r="Y56" i="46"/>
  <c r="AL42" i="45"/>
  <c r="AL38" i="45"/>
  <c r="U38" i="45"/>
  <c r="AD33" i="45"/>
  <c r="AL28" i="45"/>
  <c r="U28" i="45"/>
  <c r="AD23" i="45"/>
  <c r="AL18" i="45"/>
  <c r="U18" i="45"/>
  <c r="AD13" i="45"/>
  <c r="AL8" i="45"/>
  <c r="AL43" i="45"/>
  <c r="U42" i="45"/>
  <c r="AS43" i="45" s="1"/>
  <c r="AD37" i="45"/>
  <c r="AL32" i="45"/>
  <c r="U32" i="45"/>
  <c r="AD27" i="45"/>
  <c r="AL22" i="45"/>
  <c r="U22" i="45"/>
  <c r="AS23" i="45" s="1"/>
  <c r="AD17" i="45"/>
  <c r="AL12" i="45"/>
  <c r="U12" i="45"/>
  <c r="AC32" i="18"/>
  <c r="U28" i="18"/>
  <c r="AC22" i="18"/>
  <c r="U23" i="18"/>
  <c r="AC7" i="18"/>
  <c r="U8" i="18"/>
  <c r="AC38" i="18"/>
  <c r="AK37" i="18" s="1"/>
  <c r="U42" i="18"/>
  <c r="AC33" i="18"/>
  <c r="AC27" i="18"/>
  <c r="AK28" i="18" s="1"/>
  <c r="AC23" i="18"/>
  <c r="U17" i="18"/>
  <c r="AJ18" i="18" s="1"/>
  <c r="U12" i="18"/>
  <c r="AC8" i="18"/>
  <c r="V5" i="13"/>
  <c r="AG8" i="12"/>
  <c r="AP3" i="25"/>
  <c r="AH3" i="25"/>
  <c r="W3" i="25"/>
  <c r="M3" i="25"/>
  <c r="E3" i="25"/>
  <c r="AC99" i="46"/>
  <c r="AF99" i="46" s="1"/>
  <c r="AH7" i="45"/>
  <c r="BK42" i="45"/>
  <c r="BK38" i="45"/>
  <c r="BK28" i="45"/>
  <c r="BK18" i="45"/>
  <c r="AT7" i="45"/>
  <c r="AY33" i="18"/>
  <c r="AK17" i="18"/>
  <c r="AY13" i="18"/>
  <c r="AN42" i="25"/>
  <c r="AS37" i="25"/>
  <c r="AN33" i="25"/>
  <c r="AN27" i="25"/>
  <c r="AN22" i="25"/>
  <c r="AN17" i="25"/>
  <c r="AN12" i="25"/>
  <c r="AK8" i="25"/>
  <c r="AK28" i="25"/>
  <c r="AI12" i="25"/>
  <c r="AI33" i="25"/>
  <c r="AS13" i="25"/>
  <c r="AN32" i="25"/>
  <c r="AQ18" i="25"/>
  <c r="AS7" i="25"/>
  <c r="AS27" i="25"/>
  <c r="AH31" i="12"/>
  <c r="AD94" i="46"/>
  <c r="U56" i="46"/>
  <c r="X56" i="46" s="1"/>
  <c r="V55" i="46"/>
  <c r="V58" i="46"/>
  <c r="Y58" i="46" s="1"/>
  <c r="U33" i="46"/>
  <c r="U36" i="46"/>
  <c r="V31" i="46"/>
  <c r="Y31" i="46" s="1"/>
  <c r="V35" i="46"/>
  <c r="V38" i="46"/>
  <c r="AK14" i="46"/>
  <c r="AN14" i="46" s="1"/>
  <c r="AL15" i="46"/>
  <c r="AV99" i="46"/>
  <c r="BC99" i="46"/>
  <c r="AV98" i="46"/>
  <c r="BC98" i="46"/>
  <c r="AV97" i="46"/>
  <c r="BC97" i="46"/>
  <c r="AZ96" i="46"/>
  <c r="AR96" i="46"/>
  <c r="BE95" i="46"/>
  <c r="AY95" i="46"/>
  <c r="AS95" i="46"/>
  <c r="AB94" i="46"/>
  <c r="AZ94" i="46"/>
  <c r="AS94" i="46"/>
  <c r="AB93" i="46"/>
  <c r="AZ93" i="46"/>
  <c r="AR93" i="46"/>
  <c r="AX92" i="46"/>
  <c r="AQ92" i="46"/>
  <c r="AY91" i="46"/>
  <c r="AS91" i="46"/>
  <c r="AB91" i="46"/>
  <c r="BC3" i="46"/>
  <c r="AW3" i="46"/>
  <c r="AR3" i="46"/>
  <c r="AK3" i="46"/>
  <c r="AC3" i="46"/>
  <c r="V3" i="46"/>
  <c r="P3" i="46"/>
  <c r="J3" i="46"/>
  <c r="E3" i="46"/>
  <c r="AU87" i="46"/>
  <c r="BC87" i="46"/>
  <c r="AV86" i="46"/>
  <c r="AR86" i="46"/>
  <c r="BE85" i="46"/>
  <c r="AV85" i="46"/>
  <c r="BC85" i="46"/>
  <c r="AZ84" i="46"/>
  <c r="AR84" i="46"/>
  <c r="AB83" i="46"/>
  <c r="AZ83" i="46"/>
  <c r="AS83" i="46"/>
  <c r="AB82" i="46"/>
  <c r="AY82" i="46"/>
  <c r="AS82" i="46"/>
  <c r="AX81" i="46"/>
  <c r="AQ81" i="46"/>
  <c r="AX80" i="46"/>
  <c r="AJ80" i="46"/>
  <c r="AU79" i="46"/>
  <c r="AW79" i="46"/>
  <c r="AJ79" i="46"/>
  <c r="AW75" i="46"/>
  <c r="AJ75" i="46"/>
  <c r="AU74" i="46"/>
  <c r="BC74" i="46"/>
  <c r="AV73" i="46"/>
  <c r="AS73" i="46"/>
  <c r="AV72" i="46"/>
  <c r="AQ72" i="46"/>
  <c r="AR71" i="46"/>
  <c r="AU70" i="46"/>
  <c r="AS70" i="46"/>
  <c r="AU69" i="46"/>
  <c r="AS69" i="46"/>
  <c r="AR68" i="46"/>
  <c r="AU67" i="46"/>
  <c r="AS67" i="46"/>
  <c r="AU63" i="46"/>
  <c r="AS63" i="46"/>
  <c r="AB62" i="46"/>
  <c r="AW62" i="46"/>
  <c r="AX61" i="46"/>
  <c r="AB60" i="46"/>
  <c r="AX60" i="46"/>
  <c r="AV59" i="46"/>
  <c r="AJ59" i="46"/>
  <c r="AV58" i="46"/>
  <c r="AQ58" i="46"/>
  <c r="BC57" i="46"/>
  <c r="AB56" i="46"/>
  <c r="BC56" i="46"/>
  <c r="AR55" i="46"/>
  <c r="AR51" i="46"/>
  <c r="AR50" i="46"/>
  <c r="AR49" i="46"/>
  <c r="AR48" i="46"/>
  <c r="AR47" i="46"/>
  <c r="AR46" i="46"/>
  <c r="AR45" i="46"/>
  <c r="AR44" i="46"/>
  <c r="AR43" i="46"/>
  <c r="AW39" i="46"/>
  <c r="AB38" i="46"/>
  <c r="AZ38" i="46"/>
  <c r="AJ38" i="46"/>
  <c r="AY37" i="46"/>
  <c r="AV36" i="46"/>
  <c r="AQ36" i="46"/>
  <c r="BC35" i="46"/>
  <c r="BE34" i="46"/>
  <c r="BC34" i="46"/>
  <c r="AW33" i="46"/>
  <c r="BE32" i="46"/>
  <c r="AZ32" i="46"/>
  <c r="AJ32" i="46"/>
  <c r="AZ31" i="46"/>
  <c r="AJ31" i="46"/>
  <c r="AY27" i="46"/>
  <c r="AZ26" i="46"/>
  <c r="AJ26" i="46"/>
  <c r="AZ25" i="46"/>
  <c r="AJ25" i="46"/>
  <c r="AY24" i="46"/>
  <c r="AV23" i="46"/>
  <c r="AQ23" i="46"/>
  <c r="AZ22" i="46"/>
  <c r="AJ22" i="46"/>
  <c r="AY21" i="46"/>
  <c r="AV20" i="46"/>
  <c r="AJ20" i="46"/>
  <c r="AZ19" i="46"/>
  <c r="AJ19" i="46"/>
  <c r="AY15" i="46"/>
  <c r="AV14" i="46"/>
  <c r="AQ14" i="46"/>
  <c r="AB13" i="46"/>
  <c r="AW13" i="46"/>
  <c r="AR12" i="46"/>
  <c r="AW11" i="46"/>
  <c r="BE10" i="46"/>
  <c r="AZ10" i="46"/>
  <c r="AJ10" i="46"/>
  <c r="AZ9" i="46"/>
  <c r="AJ9" i="46"/>
  <c r="AV8" i="46"/>
  <c r="AQ8" i="46"/>
  <c r="AY7" i="46"/>
  <c r="BD3" i="46"/>
  <c r="T12" i="46"/>
  <c r="T20" i="46"/>
  <c r="T32" i="46"/>
  <c r="T34" i="46"/>
  <c r="T39" i="46"/>
  <c r="T46" i="46"/>
  <c r="T50" i="46"/>
  <c r="T72" i="46"/>
  <c r="AD91" i="46"/>
  <c r="U59" i="46"/>
  <c r="U62" i="46"/>
  <c r="V61" i="46"/>
  <c r="U39" i="46"/>
  <c r="AK12" i="46"/>
  <c r="AL11" i="46"/>
  <c r="AU99" i="46"/>
  <c r="AW99" i="46"/>
  <c r="AJ99" i="46"/>
  <c r="AW98" i="46"/>
  <c r="AJ98" i="46"/>
  <c r="AW97" i="46"/>
  <c r="AJ97" i="46"/>
  <c r="AU96" i="46"/>
  <c r="BC96" i="46"/>
  <c r="AV95" i="46"/>
  <c r="AR95" i="46"/>
  <c r="BE94" i="46"/>
  <c r="AV94" i="46"/>
  <c r="BC94" i="46"/>
  <c r="AV93" i="46"/>
  <c r="BC93" i="46"/>
  <c r="AY92" i="46"/>
  <c r="AS92" i="46"/>
  <c r="BC91" i="46"/>
  <c r="AU91" i="46"/>
  <c r="BE3" i="46"/>
  <c r="AY3" i="46"/>
  <c r="AS3" i="46"/>
  <c r="AL3" i="46"/>
  <c r="AF3" i="46"/>
  <c r="X3" i="46"/>
  <c r="Q3" i="46"/>
  <c r="L3" i="46"/>
  <c r="F3" i="46"/>
  <c r="AX87" i="46"/>
  <c r="AJ87" i="46"/>
  <c r="AU86" i="46"/>
  <c r="AW86" i="46"/>
  <c r="AU85" i="46"/>
  <c r="AW85" i="46"/>
  <c r="AJ85" i="46"/>
  <c r="AU84" i="46"/>
  <c r="BC84" i="46"/>
  <c r="AV83" i="46"/>
  <c r="BC83" i="46"/>
  <c r="AZ82" i="46"/>
  <c r="AR82" i="46"/>
  <c r="AB81" i="46"/>
  <c r="AZ81" i="46"/>
  <c r="AS81" i="46"/>
  <c r="AB80" i="46"/>
  <c r="AY80" i="46"/>
  <c r="AS80" i="46"/>
  <c r="AX79" i="46"/>
  <c r="AQ79" i="46"/>
  <c r="BE75" i="46"/>
  <c r="AY75" i="46"/>
  <c r="AQ75" i="46"/>
  <c r="AX74" i="46"/>
  <c r="AJ74" i="46"/>
  <c r="AU73" i="46"/>
  <c r="AR73" i="46"/>
  <c r="BC72" i="46"/>
  <c r="BE71" i="46"/>
  <c r="BC71" i="46"/>
  <c r="AR70" i="46"/>
  <c r="AW69" i="46"/>
  <c r="AB68" i="46"/>
  <c r="BC68" i="46"/>
  <c r="AR67" i="46"/>
  <c r="AW63" i="46"/>
  <c r="BE62" i="46"/>
  <c r="AZ62" i="46"/>
  <c r="AJ62" i="46"/>
  <c r="AY61" i="46"/>
  <c r="AV60" i="46"/>
  <c r="AQ60" i="46"/>
  <c r="AR59" i="46"/>
  <c r="AU58" i="46"/>
  <c r="AS58" i="46"/>
  <c r="BE57" i="46"/>
  <c r="AW57" i="46"/>
  <c r="AY56" i="46"/>
  <c r="AX55" i="46"/>
  <c r="BE51" i="46"/>
  <c r="AX51" i="46"/>
  <c r="BE50" i="46"/>
  <c r="AX50" i="46"/>
  <c r="BE49" i="46"/>
  <c r="AX49" i="46"/>
  <c r="BE48" i="46"/>
  <c r="AX48" i="46"/>
  <c r="BE47" i="46"/>
  <c r="AX47" i="46"/>
  <c r="BE46" i="46"/>
  <c r="AX46" i="46"/>
  <c r="BE45" i="46"/>
  <c r="AX45" i="46"/>
  <c r="BE44" i="46"/>
  <c r="AX44" i="46"/>
  <c r="BE43" i="46"/>
  <c r="AX43" i="46"/>
  <c r="BE39" i="46"/>
  <c r="AX39" i="46"/>
  <c r="AV38" i="46"/>
  <c r="AQ38" i="46"/>
  <c r="AU37" i="46"/>
  <c r="AS37" i="46"/>
  <c r="AU36" i="46"/>
  <c r="AS36" i="46"/>
  <c r="AB35" i="46"/>
  <c r="AW35" i="46"/>
  <c r="AY34" i="46"/>
  <c r="AX33" i="46"/>
  <c r="AV32" i="46"/>
  <c r="AQ32" i="46"/>
  <c r="AR31" i="46"/>
  <c r="AU27" i="46"/>
  <c r="AS27" i="46"/>
  <c r="AV26" i="46"/>
  <c r="AQ26" i="46"/>
  <c r="AR25" i="46"/>
  <c r="AU24" i="46"/>
  <c r="AS24" i="46"/>
  <c r="AU23" i="46"/>
  <c r="AS23" i="46"/>
  <c r="AR22" i="46"/>
  <c r="AU21" i="46"/>
  <c r="AS21" i="46"/>
  <c r="AU20" i="46"/>
  <c r="AQ20" i="46"/>
  <c r="AR19" i="46"/>
  <c r="AU15" i="46"/>
  <c r="AQ15" i="46"/>
  <c r="BC14" i="46"/>
  <c r="AZ13" i="46"/>
  <c r="AX12" i="46"/>
  <c r="AB11" i="46"/>
  <c r="AX11" i="46"/>
  <c r="AV10" i="46"/>
  <c r="AQ10" i="46"/>
  <c r="AR9" i="46"/>
  <c r="AU8" i="46"/>
  <c r="AS8" i="46"/>
  <c r="AU7" i="46"/>
  <c r="AS7" i="46"/>
  <c r="T9" i="46"/>
  <c r="T26" i="46"/>
  <c r="T55" i="46"/>
  <c r="T67" i="46"/>
  <c r="T69" i="46"/>
  <c r="T74" i="46"/>
  <c r="T81" i="46"/>
  <c r="T85" i="46"/>
  <c r="T92" i="46"/>
  <c r="T7" i="46"/>
  <c r="T99" i="46"/>
  <c r="T95" i="46"/>
  <c r="T91" i="46"/>
  <c r="T84" i="46"/>
  <c r="T80" i="46"/>
  <c r="T71" i="46"/>
  <c r="T68" i="46"/>
  <c r="T60" i="46"/>
  <c r="T57" i="46"/>
  <c r="T48" i="46"/>
  <c r="T44" i="46"/>
  <c r="T36" i="46"/>
  <c r="T33" i="46"/>
  <c r="T25" i="46"/>
  <c r="T22" i="46"/>
  <c r="T14" i="46"/>
  <c r="T8" i="46"/>
  <c r="AQ7" i="46"/>
  <c r="AW7" i="46"/>
  <c r="AV7" i="46"/>
  <c r="AJ8" i="46"/>
  <c r="BC8" i="46"/>
  <c r="AZ8" i="46"/>
  <c r="AB8" i="46"/>
  <c r="AS9" i="46"/>
  <c r="AX9" i="46"/>
  <c r="AU9" i="46"/>
  <c r="AR10" i="46"/>
  <c r="AY10" i="46"/>
  <c r="AJ11" i="46"/>
  <c r="BC11" i="46"/>
  <c r="AZ11" i="46"/>
  <c r="BE11" i="46"/>
  <c r="AQ12" i="46"/>
  <c r="AW12" i="46"/>
  <c r="AV12" i="46"/>
  <c r="AB12" i="46"/>
  <c r="AS13" i="46"/>
  <c r="AY13" i="46"/>
  <c r="AR14" i="46"/>
  <c r="AY14" i="46"/>
  <c r="AJ15" i="46"/>
  <c r="AW15" i="46"/>
  <c r="AV15" i="46"/>
  <c r="BE15" i="46"/>
  <c r="AS19" i="46"/>
  <c r="AX19" i="46"/>
  <c r="AU19" i="46"/>
  <c r="AR20" i="46"/>
  <c r="AZ20" i="46"/>
  <c r="AB20" i="46"/>
  <c r="AQ21" i="46"/>
  <c r="AW21" i="46"/>
  <c r="AV21" i="46"/>
  <c r="BE21" i="46"/>
  <c r="AS22" i="46"/>
  <c r="AX22" i="46"/>
  <c r="AU22" i="46"/>
  <c r="AJ23" i="46"/>
  <c r="BC23" i="46"/>
  <c r="AZ23" i="46"/>
  <c r="BE23" i="46"/>
  <c r="AQ24" i="46"/>
  <c r="AW24" i="46"/>
  <c r="AV24" i="46"/>
  <c r="BE24" i="46"/>
  <c r="AS25" i="46"/>
  <c r="AX25" i="46"/>
  <c r="AU25" i="46"/>
  <c r="AR26" i="46"/>
  <c r="AY26" i="46"/>
  <c r="AQ27" i="46"/>
  <c r="AW27" i="46"/>
  <c r="AV27" i="46"/>
  <c r="AB27" i="46"/>
  <c r="AS31" i="46"/>
  <c r="AX31" i="46"/>
  <c r="AU31" i="46"/>
  <c r="AR32" i="46"/>
  <c r="AY32" i="46"/>
  <c r="AJ33" i="46"/>
  <c r="BC33" i="46"/>
  <c r="AZ33" i="46"/>
  <c r="AB33" i="46"/>
  <c r="AS34" i="46"/>
  <c r="AX34" i="46"/>
  <c r="AU34" i="46"/>
  <c r="AR35" i="46"/>
  <c r="AY35" i="46"/>
  <c r="AJ36" i="46"/>
  <c r="BC36" i="46"/>
  <c r="AZ36" i="46"/>
  <c r="AB36" i="46"/>
  <c r="AQ37" i="46"/>
  <c r="AW37" i="46"/>
  <c r="AV37" i="46"/>
  <c r="AR38" i="46"/>
  <c r="AY38" i="46"/>
  <c r="AJ39" i="46"/>
  <c r="BC39" i="46"/>
  <c r="AZ39" i="46"/>
  <c r="AB39" i="46"/>
  <c r="AQ43" i="46"/>
  <c r="AW43" i="46"/>
  <c r="AV43" i="46"/>
  <c r="AQ44" i="46"/>
  <c r="AW44" i="46"/>
  <c r="AV44" i="46"/>
  <c r="AQ45" i="46"/>
  <c r="AW45" i="46"/>
  <c r="AV45" i="46"/>
  <c r="AQ46" i="46"/>
  <c r="AW46" i="46"/>
  <c r="AV46" i="46"/>
  <c r="AQ47" i="46"/>
  <c r="AW47" i="46"/>
  <c r="AV47" i="46"/>
  <c r="AQ48" i="46"/>
  <c r="AW48" i="46"/>
  <c r="AV48" i="46"/>
  <c r="AQ49" i="46"/>
  <c r="AW49" i="46"/>
  <c r="AV49" i="46"/>
  <c r="AQ50" i="46"/>
  <c r="AW50" i="46"/>
  <c r="AV50" i="46"/>
  <c r="AQ51" i="46"/>
  <c r="AW51" i="46"/>
  <c r="AV51" i="46"/>
  <c r="AQ55" i="46"/>
  <c r="AW55" i="46"/>
  <c r="AV55" i="46"/>
  <c r="BE55" i="46"/>
  <c r="AS56" i="46"/>
  <c r="AX56" i="46"/>
  <c r="AU56" i="46"/>
  <c r="AR57" i="46"/>
  <c r="AY57" i="46"/>
  <c r="AJ58" i="46"/>
  <c r="BC58" i="46"/>
  <c r="AZ58" i="46"/>
  <c r="AB58" i="46"/>
  <c r="AS59" i="46"/>
  <c r="AX59" i="46"/>
  <c r="AJ60" i="46"/>
  <c r="BC60" i="46"/>
  <c r="AZ60" i="46"/>
  <c r="BE60" i="46"/>
  <c r="AQ61" i="46"/>
  <c r="AW61" i="46"/>
  <c r="AV61" i="46"/>
  <c r="AR62" i="46"/>
  <c r="AY62" i="46"/>
  <c r="AJ63" i="46"/>
  <c r="BC63" i="46"/>
  <c r="AZ63" i="46"/>
  <c r="AB63" i="46"/>
  <c r="AQ67" i="46"/>
  <c r="AW67" i="46"/>
  <c r="AV67" i="46"/>
  <c r="AB67" i="46"/>
  <c r="AS68" i="46"/>
  <c r="AX68" i="46"/>
  <c r="AU68" i="46"/>
  <c r="AJ69" i="46"/>
  <c r="BC69" i="46"/>
  <c r="AZ69" i="46"/>
  <c r="AB69" i="46"/>
  <c r="AQ70" i="46"/>
  <c r="AW70" i="46"/>
  <c r="AV70" i="46"/>
  <c r="BE70" i="46"/>
  <c r="AS71" i="46"/>
  <c r="AX71" i="46"/>
  <c r="AU71" i="46"/>
  <c r="AR72" i="46"/>
  <c r="AY72" i="46"/>
  <c r="AQ73" i="46"/>
  <c r="AW73" i="46"/>
  <c r="AB7" i="46"/>
  <c r="T98" i="46"/>
  <c r="T94" i="46"/>
  <c r="T87" i="46"/>
  <c r="T83" i="46"/>
  <c r="T79" i="46"/>
  <c r="T73" i="46"/>
  <c r="T70" i="46"/>
  <c r="T62" i="46"/>
  <c r="T59" i="46"/>
  <c r="T51" i="46"/>
  <c r="T47" i="46"/>
  <c r="T38" i="46"/>
  <c r="T35" i="46"/>
  <c r="T27" i="46"/>
  <c r="T24" i="46"/>
  <c r="T19" i="46"/>
  <c r="T13" i="46"/>
  <c r="T10" i="46"/>
  <c r="AJ7" i="46"/>
  <c r="BC7" i="46"/>
  <c r="AZ7" i="46"/>
  <c r="AR8" i="46"/>
  <c r="AY8" i="46"/>
  <c r="AQ9" i="46"/>
  <c r="AW9" i="46"/>
  <c r="AV9" i="46"/>
  <c r="BE9" i="46"/>
  <c r="AS10" i="46"/>
  <c r="AX10" i="46"/>
  <c r="AU10" i="46"/>
  <c r="AR11" i="46"/>
  <c r="AY11" i="46"/>
  <c r="AJ12" i="46"/>
  <c r="BC12" i="46"/>
  <c r="AZ12" i="46"/>
  <c r="BE12" i="46"/>
  <c r="AQ13" i="46"/>
  <c r="AX13" i="46"/>
  <c r="AU13" i="46"/>
  <c r="BE13" i="46"/>
  <c r="AS14" i="46"/>
  <c r="AX14" i="46"/>
  <c r="AU14" i="46"/>
  <c r="AR15" i="46"/>
  <c r="AZ15" i="46"/>
  <c r="AB15" i="46"/>
  <c r="AQ19" i="46"/>
  <c r="AW19" i="46"/>
  <c r="AV19" i="46"/>
  <c r="AB19" i="46"/>
  <c r="AS20" i="46"/>
  <c r="AY20" i="46"/>
  <c r="AJ21" i="46"/>
  <c r="BC21" i="46"/>
  <c r="AZ21" i="46"/>
  <c r="AB21" i="46"/>
  <c r="AQ22" i="46"/>
  <c r="AW22" i="46"/>
  <c r="AV22" i="46"/>
  <c r="AR23" i="46"/>
  <c r="AY23" i="46"/>
  <c r="AJ24" i="46"/>
  <c r="BC24" i="46"/>
  <c r="AZ24" i="46"/>
  <c r="AB24" i="46"/>
  <c r="AQ25" i="46"/>
  <c r="AW25" i="46"/>
  <c r="AV25" i="46"/>
  <c r="BE25" i="46"/>
  <c r="AS26" i="46"/>
  <c r="AX26" i="46"/>
  <c r="AU26" i="46"/>
  <c r="AJ27" i="46"/>
  <c r="BC27" i="46"/>
  <c r="AZ27" i="46"/>
  <c r="BE27" i="46"/>
  <c r="AQ31" i="46"/>
  <c r="AW31" i="46"/>
  <c r="AV31" i="46"/>
  <c r="BE31" i="46"/>
  <c r="AS32" i="46"/>
  <c r="AX32" i="46"/>
  <c r="AU32" i="46"/>
  <c r="AR33" i="46"/>
  <c r="AY33" i="46"/>
  <c r="AQ34" i="46"/>
  <c r="AW34" i="46"/>
  <c r="AV34" i="46"/>
  <c r="AB34" i="46"/>
  <c r="AS35" i="46"/>
  <c r="AX35" i="46"/>
  <c r="AU35" i="46"/>
  <c r="AR36" i="46"/>
  <c r="AY36" i="46"/>
  <c r="AJ37" i="46"/>
  <c r="BC37" i="46"/>
  <c r="AZ37" i="46"/>
  <c r="AB37" i="46"/>
  <c r="AS38" i="46"/>
  <c r="AX38" i="46"/>
  <c r="AU38" i="46"/>
  <c r="AR39" i="46"/>
  <c r="AY39" i="46"/>
  <c r="AJ43" i="46"/>
  <c r="BC43" i="46"/>
  <c r="AZ43" i="46"/>
  <c r="AB43" i="46"/>
  <c r="AJ44" i="46"/>
  <c r="BC44" i="46"/>
  <c r="AZ44" i="46"/>
  <c r="AB44" i="46"/>
  <c r="AJ45" i="46"/>
  <c r="BC45" i="46"/>
  <c r="AZ45" i="46"/>
  <c r="AB45" i="46"/>
  <c r="AJ46" i="46"/>
  <c r="BC46" i="46"/>
  <c r="AZ46" i="46"/>
  <c r="AB46" i="46"/>
  <c r="AJ47" i="46"/>
  <c r="BC47" i="46"/>
  <c r="AZ47" i="46"/>
  <c r="AB47" i="46"/>
  <c r="AJ48" i="46"/>
  <c r="BC48" i="46"/>
  <c r="AZ48" i="46"/>
  <c r="AB48" i="46"/>
  <c r="AJ49" i="46"/>
  <c r="BC49" i="46"/>
  <c r="AZ49" i="46"/>
  <c r="AB49" i="46"/>
  <c r="AJ50" i="46"/>
  <c r="BC50" i="46"/>
  <c r="AZ50" i="46"/>
  <c r="AB50" i="46"/>
  <c r="AJ51" i="46"/>
  <c r="BC51" i="46"/>
  <c r="AZ51" i="46"/>
  <c r="AB51" i="46"/>
  <c r="AJ55" i="46"/>
  <c r="BC55" i="46"/>
  <c r="AZ55" i="46"/>
  <c r="AB55" i="46"/>
  <c r="AQ56" i="46"/>
  <c r="AW56" i="46"/>
  <c r="AV56" i="46"/>
  <c r="BE56" i="46"/>
  <c r="AS57" i="46"/>
  <c r="AX57" i="46"/>
  <c r="AU57" i="46"/>
  <c r="AR58" i="46"/>
  <c r="AY58" i="46"/>
  <c r="AQ59" i="46"/>
  <c r="AW59" i="46"/>
  <c r="AU59" i="46"/>
  <c r="AR60" i="46"/>
  <c r="AY60" i="46"/>
  <c r="AJ61" i="46"/>
  <c r="BC61" i="46"/>
  <c r="AZ61" i="46"/>
  <c r="AB61" i="46"/>
  <c r="AS62" i="46"/>
  <c r="AX62" i="46"/>
  <c r="AU62" i="46"/>
  <c r="AR63" i="46"/>
  <c r="AY63" i="46"/>
  <c r="AJ67" i="46"/>
  <c r="BC67" i="46"/>
  <c r="AZ67" i="46"/>
  <c r="BE67" i="46"/>
  <c r="AQ68" i="46"/>
  <c r="AW68" i="46"/>
  <c r="AV68" i="46"/>
  <c r="AR69" i="46"/>
  <c r="AY69" i="46"/>
  <c r="AJ70" i="46"/>
  <c r="BC70" i="46"/>
  <c r="AZ70" i="46"/>
  <c r="AB70" i="46"/>
  <c r="AQ71" i="46"/>
  <c r="AW71" i="46"/>
  <c r="AV71" i="46"/>
  <c r="AB71" i="46"/>
  <c r="AS72" i="46"/>
  <c r="AX72" i="46"/>
  <c r="AU72" i="46"/>
  <c r="AJ73" i="46"/>
  <c r="BC73" i="46"/>
  <c r="AZ73" i="46"/>
  <c r="AB73" i="46"/>
  <c r="AQ74" i="46"/>
  <c r="AW74" i="46"/>
  <c r="AV74" i="46"/>
  <c r="BE74" i="46"/>
  <c r="AS75" i="46"/>
  <c r="AX75" i="46"/>
  <c r="AU75" i="46"/>
  <c r="AR79" i="46"/>
  <c r="AY79" i="46"/>
  <c r="AQ80" i="46"/>
  <c r="AW80" i="46"/>
  <c r="AV80" i="46"/>
  <c r="AR81" i="46"/>
  <c r="AY81" i="46"/>
  <c r="AQ82" i="46"/>
  <c r="AW82" i="46"/>
  <c r="AV82" i="46"/>
  <c r="AR83" i="46"/>
  <c r="AY83" i="46"/>
  <c r="AQ84" i="46"/>
  <c r="AW84" i="46"/>
  <c r="AV84" i="46"/>
  <c r="AR85" i="46"/>
  <c r="AY85" i="46"/>
  <c r="AJ86" i="46"/>
  <c r="BC86" i="46"/>
  <c r="AZ86" i="46"/>
  <c r="AB86" i="46"/>
  <c r="AQ87" i="46"/>
  <c r="AW87" i="46"/>
  <c r="AV87" i="46"/>
  <c r="AB87" i="46"/>
  <c r="G3" i="46"/>
  <c r="K3" i="46"/>
  <c r="O3" i="46"/>
  <c r="T3" i="46"/>
  <c r="Y3" i="46"/>
  <c r="AD3" i="46"/>
  <c r="AJ3" i="46"/>
  <c r="AO3" i="46"/>
  <c r="AT3" i="46"/>
  <c r="AX3" i="46"/>
  <c r="BB3" i="46"/>
  <c r="AQ91" i="46"/>
  <c r="AV91" i="46"/>
  <c r="AZ91" i="46"/>
  <c r="AJ92" i="46"/>
  <c r="BC92" i="46"/>
  <c r="AZ92" i="46"/>
  <c r="AB92" i="46"/>
  <c r="AS93" i="46"/>
  <c r="AX93" i="46"/>
  <c r="AU93" i="46"/>
  <c r="AR94" i="46"/>
  <c r="AY94" i="46"/>
  <c r="AJ95" i="46"/>
  <c r="BC95" i="46"/>
  <c r="AZ95" i="46"/>
  <c r="AB95" i="46"/>
  <c r="AQ96" i="46"/>
  <c r="AW96" i="46"/>
  <c r="AV96" i="46"/>
  <c r="BE96" i="46"/>
  <c r="AS97" i="46"/>
  <c r="AX97" i="46"/>
  <c r="AU97" i="46"/>
  <c r="BE97" i="46"/>
  <c r="AS98" i="46"/>
  <c r="AX98" i="46"/>
  <c r="AU98" i="46"/>
  <c r="AR99" i="46"/>
  <c r="AY99" i="46"/>
  <c r="AL14" i="46"/>
  <c r="AO14" i="46" s="1"/>
  <c r="AL7" i="46"/>
  <c r="AK8" i="46"/>
  <c r="V37" i="46"/>
  <c r="Y37" i="46" s="1"/>
  <c r="V34" i="46"/>
  <c r="U35" i="46"/>
  <c r="U32" i="46"/>
  <c r="V62" i="46"/>
  <c r="V57" i="46"/>
  <c r="U63" i="46"/>
  <c r="X63" i="46" s="1"/>
  <c r="U60" i="46"/>
  <c r="U55" i="46"/>
  <c r="AD95" i="46"/>
  <c r="V53" i="13"/>
  <c r="AG21" i="12"/>
  <c r="AB41" i="13"/>
  <c r="W63" i="27"/>
  <c r="AM101" i="27"/>
  <c r="AM92" i="27"/>
  <c r="AO133" i="27"/>
  <c r="AO123" i="27"/>
  <c r="AO115" i="27"/>
  <c r="AO103" i="27"/>
  <c r="AO94" i="27"/>
  <c r="AO86" i="27"/>
  <c r="AO73" i="27"/>
  <c r="AO65" i="27"/>
  <c r="AO54" i="27"/>
  <c r="AO44" i="27"/>
  <c r="AO36" i="27"/>
  <c r="AM50" i="27"/>
  <c r="AM41" i="27"/>
  <c r="AM30" i="27"/>
  <c r="AL46" i="27"/>
  <c r="AL38" i="27"/>
  <c r="V26" i="27"/>
  <c r="V16" i="27"/>
  <c r="V8" i="27"/>
  <c r="AC131" i="27"/>
  <c r="AC128" i="27"/>
  <c r="AC124" i="27"/>
  <c r="AC119" i="27"/>
  <c r="AC114" i="27"/>
  <c r="AC112" i="27"/>
  <c r="AW123" i="27"/>
  <c r="AW113" i="27"/>
  <c r="AU123" i="27"/>
  <c r="W121" i="27"/>
  <c r="AU115" i="27"/>
  <c r="W113" i="27"/>
  <c r="AU131" i="27"/>
  <c r="AU113" i="27"/>
  <c r="AC106" i="27"/>
  <c r="AC101" i="27"/>
  <c r="AC97" i="27"/>
  <c r="AW105" i="27"/>
  <c r="AW91" i="27"/>
  <c r="W107" i="27"/>
  <c r="W103" i="27"/>
  <c r="W98" i="27"/>
  <c r="W94" i="27"/>
  <c r="W92" i="27"/>
  <c r="W88" i="27"/>
  <c r="AU99" i="27"/>
  <c r="AU87" i="27"/>
  <c r="AS56" i="27"/>
  <c r="AU62" i="27"/>
  <c r="AU60" i="27"/>
  <c r="W80" i="27"/>
  <c r="W76" i="27"/>
  <c r="W73" i="27"/>
  <c r="W71" i="27"/>
  <c r="W69" i="27"/>
  <c r="W67" i="27"/>
  <c r="W65" i="27"/>
  <c r="W62" i="27"/>
  <c r="W60" i="27"/>
  <c r="AW81" i="27"/>
  <c r="AW79" i="27"/>
  <c r="AW76" i="27"/>
  <c r="AW73" i="27"/>
  <c r="AW71" i="27"/>
  <c r="AW69" i="27"/>
  <c r="AW67" i="27"/>
  <c r="AW65" i="27"/>
  <c r="AW63" i="27"/>
  <c r="AW61" i="27"/>
  <c r="AC81" i="27"/>
  <c r="AC72" i="27"/>
  <c r="AC70" i="27"/>
  <c r="AC65" i="27"/>
  <c r="AC63" i="27"/>
  <c r="AC55" i="27"/>
  <c r="AC51" i="27"/>
  <c r="AC47" i="27"/>
  <c r="AC45" i="27"/>
  <c r="AW50" i="27"/>
  <c r="AW30" i="27"/>
  <c r="W51" i="27"/>
  <c r="W44" i="27"/>
  <c r="W42" i="27"/>
  <c r="W36" i="27"/>
  <c r="W34" i="27"/>
  <c r="AU37" i="27"/>
  <c r="AK30" i="27"/>
  <c r="AH51" i="27"/>
  <c r="AH46" i="27"/>
  <c r="AH42" i="27"/>
  <c r="AH38" i="27"/>
  <c r="AH34" i="27"/>
  <c r="T26" i="27"/>
  <c r="T20" i="27"/>
  <c r="T16" i="27"/>
  <c r="T12" i="27"/>
  <c r="T8" i="27"/>
  <c r="Y8" i="27"/>
  <c r="Y12" i="27"/>
  <c r="Y16" i="27"/>
  <c r="Y20" i="27"/>
  <c r="Y26" i="27"/>
  <c r="Y3" i="27"/>
  <c r="AI35" i="27"/>
  <c r="AQ35" i="27"/>
  <c r="AN36" i="27"/>
  <c r="AI37" i="27"/>
  <c r="AQ37" i="27"/>
  <c r="AN38" i="27"/>
  <c r="AI39" i="27"/>
  <c r="AQ39" i="27"/>
  <c r="AN40" i="27"/>
  <c r="AI41" i="27"/>
  <c r="AQ41" i="27"/>
  <c r="AN42" i="27"/>
  <c r="AI43" i="27"/>
  <c r="AQ43" i="27"/>
  <c r="AN44" i="27"/>
  <c r="AI45" i="27"/>
  <c r="AQ45" i="27"/>
  <c r="AN46" i="27"/>
  <c r="AI47" i="27"/>
  <c r="AQ47" i="27"/>
  <c r="AN49" i="27"/>
  <c r="AI50" i="27"/>
  <c r="AQ50" i="27"/>
  <c r="AN51" i="27"/>
  <c r="AI53" i="27"/>
  <c r="AQ53" i="27"/>
  <c r="AN54" i="27"/>
  <c r="AI55" i="27"/>
  <c r="AQ55" i="27"/>
  <c r="AN34" i="27"/>
  <c r="N28" i="27"/>
  <c r="N22" i="27"/>
  <c r="N13" i="27"/>
  <c r="N17" i="27"/>
  <c r="N8" i="27"/>
  <c r="X3" i="27"/>
  <c r="AQ86" i="27"/>
  <c r="AQ132" i="27"/>
  <c r="AQ129" i="27"/>
  <c r="AQ127" i="27"/>
  <c r="AQ114" i="27"/>
  <c r="AQ116" i="27"/>
  <c r="AQ118" i="27"/>
  <c r="AQ120" i="27"/>
  <c r="AQ122" i="27"/>
  <c r="AQ124" i="27"/>
  <c r="AQ112" i="27"/>
  <c r="AQ80" i="27"/>
  <c r="AQ77" i="27"/>
  <c r="AQ75" i="27"/>
  <c r="AQ62" i="27"/>
  <c r="AQ64" i="27"/>
  <c r="AQ66" i="27"/>
  <c r="AQ68" i="27"/>
  <c r="AQ70" i="27"/>
  <c r="AQ72" i="27"/>
  <c r="AQ107" i="27"/>
  <c r="AQ105" i="27"/>
  <c r="AQ102" i="27"/>
  <c r="AQ87" i="27"/>
  <c r="AQ89" i="27"/>
  <c r="AQ91" i="27"/>
  <c r="AQ93" i="27"/>
  <c r="AQ95" i="27"/>
  <c r="AQ97" i="27"/>
  <c r="AQ99" i="27"/>
  <c r="U8" i="27"/>
  <c r="U10" i="27"/>
  <c r="U12" i="27"/>
  <c r="U14" i="27"/>
  <c r="U16" i="27"/>
  <c r="U18" i="27"/>
  <c r="U20" i="27"/>
  <c r="U23" i="27"/>
  <c r="U26" i="27"/>
  <c r="U28" i="27"/>
  <c r="AB82" i="27"/>
  <c r="AQ108" i="27"/>
  <c r="AQ56" i="27"/>
  <c r="Q82" i="27"/>
  <c r="W82" i="27"/>
  <c r="AR30" i="27"/>
  <c r="U82" i="27"/>
  <c r="AC30" i="27"/>
  <c r="AG108" i="27"/>
  <c r="AA108" i="27"/>
  <c r="S108" i="27"/>
  <c r="AE82" i="27"/>
  <c r="Y82" i="27"/>
  <c r="P30" i="27"/>
  <c r="AD56" i="27"/>
  <c r="X56" i="27"/>
  <c r="AF30" i="27"/>
  <c r="Z30" i="27"/>
  <c r="R30" i="27"/>
  <c r="K30" i="27"/>
  <c r="E30" i="27"/>
  <c r="Q3" i="27"/>
  <c r="K3" i="27"/>
  <c r="F3" i="27"/>
  <c r="AU34" i="27"/>
  <c r="AU42" i="27"/>
  <c r="AU51" i="27"/>
  <c r="AW42" i="27"/>
  <c r="AW51" i="27"/>
  <c r="AM103" i="27"/>
  <c r="AM94" i="27"/>
  <c r="AM86" i="27"/>
  <c r="AO125" i="27"/>
  <c r="AO117" i="27"/>
  <c r="AO106" i="27"/>
  <c r="AO96" i="27"/>
  <c r="AO88" i="27"/>
  <c r="AO76" i="27"/>
  <c r="AO67" i="27"/>
  <c r="AO60" i="27"/>
  <c r="AO46" i="27"/>
  <c r="AO38" i="27"/>
  <c r="AM53" i="27"/>
  <c r="AM43" i="27"/>
  <c r="AM35" i="27"/>
  <c r="AL49" i="27"/>
  <c r="AL40" i="27"/>
  <c r="V28" i="27"/>
  <c r="V18" i="27"/>
  <c r="V10" i="27"/>
  <c r="AC133" i="27"/>
  <c r="AC127" i="27"/>
  <c r="AC121" i="27"/>
  <c r="AC118" i="27"/>
  <c r="AC116" i="27"/>
  <c r="AW128" i="27"/>
  <c r="AW115" i="27"/>
  <c r="AU133" i="27"/>
  <c r="W131" i="27"/>
  <c r="W125" i="27"/>
  <c r="W117" i="27"/>
  <c r="AV108" i="27"/>
  <c r="AU117" i="27"/>
  <c r="AS108" i="27"/>
  <c r="AC96" i="27"/>
  <c r="AW93" i="27"/>
  <c r="AC91" i="27"/>
  <c r="AC87" i="27"/>
  <c r="AX82" i="27"/>
  <c r="AW95" i="27"/>
  <c r="W106" i="27"/>
  <c r="W101" i="27"/>
  <c r="W97" i="27"/>
  <c r="AU105" i="27"/>
  <c r="AU91" i="27"/>
  <c r="AS82" i="27"/>
  <c r="AU81" i="27"/>
  <c r="AU79" i="27"/>
  <c r="AU76" i="27"/>
  <c r="AU73" i="27"/>
  <c r="AU71" i="27"/>
  <c r="AU69" i="27"/>
  <c r="AU67" i="27"/>
  <c r="AU65" i="27"/>
  <c r="W77" i="27"/>
  <c r="AW56" i="27"/>
  <c r="AC79" i="27"/>
  <c r="AC76" i="27"/>
  <c r="AC68" i="27"/>
  <c r="AC66" i="27"/>
  <c r="AC61" i="27"/>
  <c r="AC54" i="27"/>
  <c r="AC50" i="27"/>
  <c r="AC44" i="27"/>
  <c r="AC42" i="27"/>
  <c r="AC39" i="27"/>
  <c r="AC37" i="27"/>
  <c r="AC35" i="27"/>
  <c r="AW55" i="27"/>
  <c r="AW37" i="27"/>
  <c r="W49" i="27"/>
  <c r="W46" i="27"/>
  <c r="W40" i="27"/>
  <c r="W38" i="27"/>
  <c r="AU45" i="27"/>
  <c r="AS30" i="27"/>
  <c r="AH53" i="27"/>
  <c r="AH47" i="27"/>
  <c r="AH43" i="27"/>
  <c r="AH39" i="27"/>
  <c r="AH35" i="27"/>
  <c r="T27" i="27"/>
  <c r="T22" i="27"/>
  <c r="T17" i="27"/>
  <c r="T13" i="27"/>
  <c r="T9" i="27"/>
  <c r="Z3" i="27"/>
  <c r="Y11" i="27"/>
  <c r="Y15" i="27"/>
  <c r="Y19" i="27"/>
  <c r="Y24" i="27"/>
  <c r="Y7" i="27"/>
  <c r="AP35" i="27"/>
  <c r="AJ36" i="27"/>
  <c r="AR36" i="27"/>
  <c r="AP37" i="27"/>
  <c r="AJ38" i="27"/>
  <c r="AR38" i="27"/>
  <c r="AP39" i="27"/>
  <c r="AJ40" i="27"/>
  <c r="AR40" i="27"/>
  <c r="AP41" i="27"/>
  <c r="AJ42" i="27"/>
  <c r="AR42" i="27"/>
  <c r="AP43" i="27"/>
  <c r="AJ44" i="27"/>
  <c r="AR44" i="27"/>
  <c r="AP45" i="27"/>
  <c r="AJ46" i="27"/>
  <c r="AR46" i="27"/>
  <c r="AP47" i="27"/>
  <c r="AJ49" i="27"/>
  <c r="AR49" i="27"/>
  <c r="AP50" i="27"/>
  <c r="AJ51" i="27"/>
  <c r="AR51" i="27"/>
  <c r="AP53" i="27"/>
  <c r="AJ54" i="27"/>
  <c r="AR54" i="27"/>
  <c r="AP55" i="27"/>
  <c r="AJ34" i="27"/>
  <c r="AR34" i="27"/>
  <c r="N26" i="27"/>
  <c r="N10" i="27"/>
  <c r="N14" i="27"/>
  <c r="N18" i="27"/>
  <c r="N9" i="27"/>
  <c r="AR60" i="27"/>
  <c r="AR133" i="27"/>
  <c r="AR131" i="27"/>
  <c r="AR128" i="27"/>
  <c r="AR113" i="27"/>
  <c r="AR115" i="27"/>
  <c r="AR117" i="27"/>
  <c r="AR119" i="27"/>
  <c r="AR121" i="27"/>
  <c r="AR123" i="27"/>
  <c r="AR125" i="27"/>
  <c r="AR81" i="27"/>
  <c r="AR79" i="27"/>
  <c r="AR76" i="27"/>
  <c r="AR61" i="27"/>
  <c r="AR63" i="27"/>
  <c r="AR65" i="27"/>
  <c r="AR67" i="27"/>
  <c r="AR69" i="27"/>
  <c r="AR71" i="27"/>
  <c r="AR73" i="27"/>
  <c r="AR106" i="27"/>
  <c r="AR103" i="27"/>
  <c r="AR101" i="27"/>
  <c r="AR88" i="27"/>
  <c r="AR90" i="27"/>
  <c r="AR92" i="27"/>
  <c r="AR94" i="27"/>
  <c r="AR96" i="27"/>
  <c r="AR98" i="27"/>
  <c r="W7" i="27"/>
  <c r="W9" i="27"/>
  <c r="W11" i="27"/>
  <c r="W13" i="27"/>
  <c r="W15" i="27"/>
  <c r="W17" i="27"/>
  <c r="W19" i="27"/>
  <c r="W22" i="27"/>
  <c r="W24" i="27"/>
  <c r="W27" i="27"/>
  <c r="AB108" i="27"/>
  <c r="AR108" i="27"/>
  <c r="AR56" i="27"/>
  <c r="Q108" i="27"/>
  <c r="AC82" i="27"/>
  <c r="V56" i="27"/>
  <c r="T108" i="27"/>
  <c r="T30" i="27"/>
  <c r="V30" i="27"/>
  <c r="AD108" i="27"/>
  <c r="X108" i="27"/>
  <c r="AF82" i="27"/>
  <c r="Z82" i="27"/>
  <c r="R82" i="27"/>
  <c r="AE56" i="27"/>
  <c r="Y56" i="27"/>
  <c r="AG30" i="27"/>
  <c r="AA30" i="27"/>
  <c r="S30" i="27"/>
  <c r="M30" i="27"/>
  <c r="F30" i="27"/>
  <c r="R3" i="27"/>
  <c r="M3" i="27"/>
  <c r="G3" i="27"/>
  <c r="AU40" i="27"/>
  <c r="AU49" i="27"/>
  <c r="AW40" i="27"/>
  <c r="AW49" i="27"/>
  <c r="AM106" i="27"/>
  <c r="AM96" i="27"/>
  <c r="AM88" i="27"/>
  <c r="AO128" i="27"/>
  <c r="AO119" i="27"/>
  <c r="AO108" i="27"/>
  <c r="AO98" i="27"/>
  <c r="AO90" i="27"/>
  <c r="AO79" i="27"/>
  <c r="AO69" i="27"/>
  <c r="AO61" i="27"/>
  <c r="AO49" i="27"/>
  <c r="AO40" i="27"/>
  <c r="AM55" i="27"/>
  <c r="AM45" i="27"/>
  <c r="AM37" i="27"/>
  <c r="AL51" i="27"/>
  <c r="AL42" i="27"/>
  <c r="AL34" i="27"/>
  <c r="V20" i="27"/>
  <c r="V12" i="27"/>
  <c r="AC132" i="27"/>
  <c r="AC129" i="27"/>
  <c r="AC123" i="27"/>
  <c r="AC120" i="27"/>
  <c r="AC113" i="27"/>
  <c r="AW131" i="27"/>
  <c r="AW119" i="27"/>
  <c r="W129" i="27"/>
  <c r="W124" i="27"/>
  <c r="W122" i="27"/>
  <c r="W120" i="27"/>
  <c r="W116" i="27"/>
  <c r="W114" i="27"/>
  <c r="W112" i="27"/>
  <c r="AU121" i="27"/>
  <c r="AT108" i="27"/>
  <c r="AC105" i="27"/>
  <c r="AC99" i="27"/>
  <c r="AC95" i="27"/>
  <c r="AC90" i="27"/>
  <c r="AC86" i="27"/>
  <c r="AW97" i="27"/>
  <c r="AW82" i="27"/>
  <c r="W96" i="27"/>
  <c r="AU93" i="27"/>
  <c r="W91" i="27"/>
  <c r="W87" i="27"/>
  <c r="AV82" i="27"/>
  <c r="AU95" i="27"/>
  <c r="AT82" i="27"/>
  <c r="AU63" i="27"/>
  <c r="AU61" i="27"/>
  <c r="W81" i="27"/>
  <c r="W75" i="27"/>
  <c r="W72" i="27"/>
  <c r="W70" i="27"/>
  <c r="W68" i="27"/>
  <c r="W66" i="27"/>
  <c r="W64" i="27"/>
  <c r="W61" i="27"/>
  <c r="AV56" i="27"/>
  <c r="AW80" i="27"/>
  <c r="AW77" i="27"/>
  <c r="AW75" i="27"/>
  <c r="AW72" i="27"/>
  <c r="AW70" i="27"/>
  <c r="AW68" i="27"/>
  <c r="AW66" i="27"/>
  <c r="AW64" i="27"/>
  <c r="AW62" i="27"/>
  <c r="AW60" i="27"/>
  <c r="AC80" i="27"/>
  <c r="AC73" i="27"/>
  <c r="AC71" i="27"/>
  <c r="AC64" i="27"/>
  <c r="AC62" i="27"/>
  <c r="AX56" i="27"/>
  <c r="AC53" i="27"/>
  <c r="AC49" i="27"/>
  <c r="AC46" i="27"/>
  <c r="AC41" i="27"/>
  <c r="AX30" i="27"/>
  <c r="AW41" i="27"/>
  <c r="W55" i="27"/>
  <c r="W53" i="27"/>
  <c r="W43" i="27"/>
  <c r="W35" i="27"/>
  <c r="AU55" i="27"/>
  <c r="AT30" i="27"/>
  <c r="AH54" i="27"/>
  <c r="AH49" i="27"/>
  <c r="AH44" i="27"/>
  <c r="AH40" i="27"/>
  <c r="AH36" i="27"/>
  <c r="T28" i="27"/>
  <c r="T23" i="27"/>
  <c r="T18" i="27"/>
  <c r="T14" i="27"/>
  <c r="T10" i="27"/>
  <c r="T3" i="27"/>
  <c r="Y10" i="27"/>
  <c r="Y14" i="27"/>
  <c r="Y18" i="27"/>
  <c r="Y23" i="27"/>
  <c r="Y28" i="27"/>
  <c r="AN35" i="27"/>
  <c r="AI36" i="27"/>
  <c r="AQ36" i="27"/>
  <c r="AN37" i="27"/>
  <c r="AI38" i="27"/>
  <c r="AQ38" i="27"/>
  <c r="AN39" i="27"/>
  <c r="AI40" i="27"/>
  <c r="AQ40" i="27"/>
  <c r="AN41" i="27"/>
  <c r="AI42" i="27"/>
  <c r="AQ42" i="27"/>
  <c r="AN43" i="27"/>
  <c r="AI44" i="27"/>
  <c r="AQ44" i="27"/>
  <c r="AN45" i="27"/>
  <c r="AI46" i="27"/>
  <c r="AQ46" i="27"/>
  <c r="AN47" i="27"/>
  <c r="AI49" i="27"/>
  <c r="AQ49" i="27"/>
  <c r="AN50" i="27"/>
  <c r="AI51" i="27"/>
  <c r="AQ51" i="27"/>
  <c r="AN53" i="27"/>
  <c r="AI54" i="27"/>
  <c r="AQ54" i="27"/>
  <c r="AN55" i="27"/>
  <c r="AI34" i="27"/>
  <c r="AQ34" i="27"/>
  <c r="N23" i="27"/>
  <c r="N11" i="27"/>
  <c r="N15" i="27"/>
  <c r="N19" i="27"/>
  <c r="N7" i="27"/>
  <c r="AQ60" i="27"/>
  <c r="AQ133" i="27"/>
  <c r="AQ131" i="27"/>
  <c r="AQ128" i="27"/>
  <c r="AQ113" i="27"/>
  <c r="AQ115" i="27"/>
  <c r="AQ117" i="27"/>
  <c r="AQ119" i="27"/>
  <c r="AQ121" i="27"/>
  <c r="AQ123" i="27"/>
  <c r="AQ125" i="27"/>
  <c r="AQ81" i="27"/>
  <c r="AQ79" i="27"/>
  <c r="AQ76" i="27"/>
  <c r="AQ61" i="27"/>
  <c r="AQ63" i="27"/>
  <c r="AQ65" i="27"/>
  <c r="AQ67" i="27"/>
  <c r="AQ69" i="27"/>
  <c r="AQ71" i="27"/>
  <c r="AQ73" i="27"/>
  <c r="AQ106" i="27"/>
  <c r="AQ103" i="27"/>
  <c r="AQ101" i="27"/>
  <c r="AQ88" i="27"/>
  <c r="AQ90" i="27"/>
  <c r="AQ92" i="27"/>
  <c r="AQ94" i="27"/>
  <c r="AQ96" i="27"/>
  <c r="AQ98" i="27"/>
  <c r="U7" i="27"/>
  <c r="U9" i="27"/>
  <c r="U11" i="27"/>
  <c r="U13" i="27"/>
  <c r="U15" i="27"/>
  <c r="U17" i="27"/>
  <c r="U19" i="27"/>
  <c r="U22" i="27"/>
  <c r="U24" i="27"/>
  <c r="U27" i="27"/>
  <c r="AC108" i="27"/>
  <c r="AP30" i="27"/>
  <c r="AQ82" i="27"/>
  <c r="V108" i="27"/>
  <c r="AC56" i="27"/>
  <c r="W56" i="27"/>
  <c r="U108" i="27"/>
  <c r="U30" i="27"/>
  <c r="W30" i="27"/>
  <c r="AE108" i="27"/>
  <c r="Y108" i="27"/>
  <c r="AG82" i="27"/>
  <c r="AA82" i="27"/>
  <c r="S82" i="27"/>
  <c r="AF56" i="27"/>
  <c r="Z56" i="27"/>
  <c r="AI30" i="27"/>
  <c r="AD30" i="27"/>
  <c r="X30" i="27"/>
  <c r="N30" i="27"/>
  <c r="G30" i="27"/>
  <c r="S3" i="27"/>
  <c r="N3" i="27"/>
  <c r="H3" i="27"/>
  <c r="AU38" i="27"/>
  <c r="AU46" i="27"/>
  <c r="AW38" i="27"/>
  <c r="AW46" i="27"/>
  <c r="T20" i="29"/>
  <c r="AR20" i="29" s="1"/>
  <c r="T22" i="29"/>
  <c r="AR22" i="29" s="1"/>
  <c r="T34" i="29"/>
  <c r="AR34" i="29" s="1"/>
  <c r="T45" i="29"/>
  <c r="AR45" i="29" s="1"/>
  <c r="T56" i="29"/>
  <c r="AR56" i="29" s="1"/>
  <c r="T60" i="29"/>
  <c r="AR60" i="29" s="1"/>
  <c r="T75" i="29"/>
  <c r="AR75" i="29" s="1"/>
  <c r="T82" i="29"/>
  <c r="AR82" i="29" s="1"/>
  <c r="T86" i="29"/>
  <c r="AR86" i="29" s="1"/>
  <c r="T93" i="29"/>
  <c r="AR93" i="29" s="1"/>
  <c r="T97" i="29"/>
  <c r="AR97" i="29" s="1"/>
  <c r="T47" i="29"/>
  <c r="AR47" i="29" s="1"/>
  <c r="S17" i="12"/>
  <c r="W41" i="28"/>
  <c r="AS42" i="28"/>
  <c r="AU42" i="28"/>
  <c r="W48" i="28"/>
  <c r="AW47" i="28"/>
  <c r="AW46" i="28"/>
  <c r="AW52" i="28"/>
  <c r="AW54" i="28"/>
  <c r="W52" i="28"/>
  <c r="AU59" i="28"/>
  <c r="AC61" i="28"/>
  <c r="AW67" i="28"/>
  <c r="X20" i="10"/>
  <c r="Z20" i="10" s="1"/>
  <c r="AP20" i="10"/>
  <c r="AP59" i="10"/>
  <c r="AN53" i="10"/>
  <c r="AO50" i="10"/>
  <c r="AJ51" i="10"/>
  <c r="AL58" i="10"/>
  <c r="AL57" i="10"/>
  <c r="AO64" i="10"/>
  <c r="AI68" i="22"/>
  <c r="AI88" i="22"/>
  <c r="Y34" i="17"/>
  <c r="AA34" i="17" s="1"/>
  <c r="Y50" i="17"/>
  <c r="AA50" i="17" s="1"/>
  <c r="T17" i="12"/>
  <c r="AH16" i="12" s="1"/>
  <c r="AC98" i="27"/>
  <c r="AU125" i="27"/>
  <c r="W127" i="27"/>
  <c r="AW108" i="27"/>
  <c r="AC122" i="27"/>
  <c r="AC125" i="27"/>
  <c r="AL36" i="27"/>
  <c r="AM47" i="27"/>
  <c r="AO63" i="27"/>
  <c r="AO101" i="27"/>
  <c r="AM90" i="27"/>
  <c r="AC41" i="22"/>
  <c r="AC54" i="22"/>
  <c r="AC98" i="22"/>
  <c r="AC86" i="22"/>
  <c r="S44" i="24"/>
  <c r="AD27" i="24"/>
  <c r="AI47" i="24"/>
  <c r="U53" i="24"/>
  <c r="V23" i="24"/>
  <c r="N8" i="24"/>
  <c r="Z10" i="24"/>
  <c r="V11" i="24"/>
  <c r="AB20" i="24"/>
  <c r="Z21" i="24"/>
  <c r="Z22" i="24"/>
  <c r="AH32" i="24"/>
  <c r="U34" i="24"/>
  <c r="AH56" i="24"/>
  <c r="AB26" i="24"/>
  <c r="Z27" i="24"/>
  <c r="X28" i="24"/>
  <c r="AH28" i="24"/>
  <c r="AE62" i="24"/>
  <c r="AH16" i="24"/>
  <c r="AC23" i="24"/>
  <c r="AH59" i="24"/>
  <c r="AH35" i="24"/>
  <c r="X16" i="24"/>
  <c r="R16" i="24"/>
  <c r="AE53" i="24"/>
  <c r="V47" i="24"/>
  <c r="W29" i="24"/>
  <c r="Z23" i="24"/>
  <c r="N23" i="24"/>
  <c r="AE16" i="24"/>
  <c r="Q16" i="24"/>
  <c r="E16" i="24"/>
  <c r="M3" i="24"/>
  <c r="T34" i="24"/>
  <c r="N3" i="24"/>
  <c r="V16" i="24"/>
  <c r="T23" i="24"/>
  <c r="U35" i="24"/>
  <c r="Q53" i="24"/>
  <c r="S23" i="24"/>
  <c r="AI41" i="24"/>
  <c r="S62" i="24"/>
  <c r="S51" i="24"/>
  <c r="S40" i="24"/>
  <c r="AF27" i="24"/>
  <c r="AC26" i="24"/>
  <c r="AC46" i="24"/>
  <c r="AH34" i="24"/>
  <c r="T32" i="24"/>
  <c r="AF21" i="24"/>
  <c r="S20" i="24"/>
  <c r="U11" i="24"/>
  <c r="W10" i="24"/>
  <c r="Z20" i="24"/>
  <c r="Y28" i="24"/>
  <c r="W47" i="24"/>
  <c r="K3" i="24"/>
  <c r="S56" i="24"/>
  <c r="S64" i="24"/>
  <c r="AD22" i="24"/>
  <c r="S50" i="24"/>
  <c r="V59" i="24"/>
  <c r="M16" i="24"/>
  <c r="AH26" i="24"/>
  <c r="N10" i="24"/>
  <c r="Z11" i="24"/>
  <c r="V13" i="24"/>
  <c r="Y20" i="24"/>
  <c r="X21" i="24"/>
  <c r="X22" i="24"/>
  <c r="AH22" i="24"/>
  <c r="AH46" i="24"/>
  <c r="AH57" i="24"/>
  <c r="Y26" i="24"/>
  <c r="X27" i="24"/>
  <c r="AH27" i="24"/>
  <c r="AE28" i="24"/>
  <c r="AH52" i="24"/>
  <c r="X3" i="24"/>
  <c r="AI59" i="24"/>
  <c r="AH41" i="24"/>
  <c r="AG16" i="24"/>
  <c r="R23" i="24"/>
  <c r="Q59" i="24"/>
  <c r="P53" i="24"/>
  <c r="V41" i="24"/>
  <c r="T35" i="24"/>
  <c r="AE23" i="24"/>
  <c r="Q23" i="24"/>
  <c r="E23" i="24"/>
  <c r="U16" i="24"/>
  <c r="G16" i="24"/>
  <c r="Q3" i="24"/>
  <c r="E3" i="24"/>
  <c r="N7" i="24"/>
  <c r="P16" i="24"/>
  <c r="V29" i="24"/>
  <c r="AE59" i="24"/>
  <c r="Y3" i="24"/>
  <c r="AC51" i="24"/>
  <c r="S45" i="24"/>
  <c r="S34" i="24"/>
  <c r="X20" i="24"/>
  <c r="X14" i="24"/>
  <c r="X8" i="24"/>
  <c r="U28" i="24"/>
  <c r="T27" i="24"/>
  <c r="T26" i="24"/>
  <c r="T38" i="24"/>
  <c r="T39" i="24"/>
  <c r="W8" i="24"/>
  <c r="W14" i="24"/>
  <c r="AE57" i="24"/>
  <c r="Y27" i="24"/>
  <c r="AI53" i="24"/>
  <c r="P59" i="24"/>
  <c r="AD23" i="24"/>
  <c r="F16" i="24"/>
  <c r="S21" i="24"/>
  <c r="T57" i="24"/>
  <c r="AB27" i="24"/>
  <c r="S63" i="24"/>
  <c r="AH53" i="24"/>
  <c r="AE58" i="24"/>
  <c r="AH38" i="24"/>
  <c r="AC41" i="24"/>
  <c r="Z3" i="24"/>
  <c r="W35" i="24"/>
  <c r="Y16" i="24"/>
  <c r="AH21" i="24"/>
  <c r="AH39" i="24"/>
  <c r="U7" i="24"/>
  <c r="V8" i="24"/>
  <c r="N11" i="24"/>
  <c r="Z13" i="24"/>
  <c r="V14" i="24"/>
  <c r="AF20" i="24"/>
  <c r="AE21" i="24"/>
  <c r="AE22" i="24"/>
  <c r="U33" i="24"/>
  <c r="AC45" i="24"/>
  <c r="U57" i="24"/>
  <c r="AH58" i="24"/>
  <c r="AF26" i="24"/>
  <c r="AE27" i="24"/>
  <c r="AC28" i="24"/>
  <c r="AH51" i="24"/>
  <c r="AH64" i="24"/>
  <c r="AG47" i="24"/>
  <c r="AA23" i="24"/>
  <c r="AH47" i="24"/>
  <c r="AH23" i="24"/>
  <c r="W3" i="24"/>
  <c r="U59" i="24"/>
  <c r="T53" i="24"/>
  <c r="P47" i="24"/>
  <c r="V35" i="24"/>
  <c r="Q29" i="24"/>
  <c r="U23" i="24"/>
  <c r="G23" i="24"/>
  <c r="W16" i="24"/>
  <c r="K16" i="24"/>
  <c r="S3" i="24"/>
  <c r="G3" i="24"/>
  <c r="T33" i="24"/>
  <c r="AH45" i="24"/>
  <c r="I16" i="24"/>
  <c r="F23" i="24"/>
  <c r="AF23" i="24"/>
  <c r="W41" i="24"/>
  <c r="T59" i="24"/>
  <c r="AG23" i="24"/>
  <c r="AG41" i="24"/>
  <c r="AH50" i="24"/>
  <c r="S28" i="24"/>
  <c r="S27" i="24"/>
  <c r="S58" i="24"/>
  <c r="T56" i="24"/>
  <c r="S32" i="24"/>
  <c r="AF22" i="24"/>
  <c r="AH20" i="24"/>
  <c r="U14" i="24"/>
  <c r="X13" i="24"/>
  <c r="U8" i="24"/>
  <c r="X7" i="24"/>
  <c r="AE20" i="24"/>
  <c r="AC52" i="24"/>
  <c r="R3" i="24"/>
  <c r="S26" i="24"/>
  <c r="N14" i="24"/>
  <c r="T41" i="24"/>
  <c r="X10" i="24"/>
  <c r="AI35" i="24"/>
  <c r="P23" i="24"/>
  <c r="AB21" i="24"/>
  <c r="U32" i="24"/>
  <c r="AB28" i="24"/>
  <c r="Z26" i="24"/>
  <c r="AB16" i="24"/>
  <c r="T29" i="24"/>
  <c r="S39" i="24"/>
  <c r="V7" i="24"/>
  <c r="AG35" i="24"/>
  <c r="H3" i="24"/>
  <c r="M23" i="24"/>
  <c r="U47" i="24"/>
  <c r="AI29" i="24"/>
  <c r="AH62" i="24"/>
  <c r="S33" i="24"/>
  <c r="U10" i="24"/>
  <c r="W7" i="24"/>
  <c r="W13" i="24"/>
  <c r="Y22" i="24"/>
  <c r="AE26" i="24"/>
  <c r="AG29" i="24"/>
  <c r="S16" i="24"/>
  <c r="Q35" i="24"/>
  <c r="T16" i="24"/>
  <c r="AC20" i="24"/>
  <c r="AB22" i="24"/>
  <c r="X26" i="24"/>
  <c r="S52" i="24"/>
  <c r="AC16" i="24"/>
  <c r="AD21" i="24"/>
  <c r="U56" i="24"/>
  <c r="AD28" i="24"/>
  <c r="AE64" i="24"/>
  <c r="AI23" i="24"/>
  <c r="Q47" i="24"/>
  <c r="I23" i="24"/>
  <c r="F3" i="24"/>
  <c r="Z8" i="24"/>
  <c r="V10" i="24"/>
  <c r="N13" i="24"/>
  <c r="Z14" i="24"/>
  <c r="AD20" i="24"/>
  <c r="AC21" i="24"/>
  <c r="AC22" i="24"/>
  <c r="AC44" i="24"/>
  <c r="U58" i="24"/>
  <c r="AD26" i="24"/>
  <c r="AC27" i="24"/>
  <c r="Z28" i="24"/>
  <c r="AC50" i="24"/>
  <c r="AE63" i="24"/>
  <c r="AC47" i="24"/>
  <c r="AB23" i="24"/>
  <c r="AG53" i="24"/>
  <c r="AH29" i="24"/>
  <c r="AA3" i="24"/>
  <c r="W59" i="24"/>
  <c r="V53" i="24"/>
  <c r="T47" i="24"/>
  <c r="P41" i="24"/>
  <c r="U29" i="24"/>
  <c r="W23" i="24"/>
  <c r="K23" i="24"/>
  <c r="Z16" i="24"/>
  <c r="N16" i="24"/>
  <c r="V3" i="24"/>
  <c r="I3" i="24"/>
  <c r="T3" i="24"/>
  <c r="AD16" i="24"/>
  <c r="Y23" i="24"/>
  <c r="Q41" i="24"/>
  <c r="W53" i="24"/>
  <c r="U3" i="24"/>
  <c r="AA16" i="24"/>
  <c r="AH63" i="24"/>
  <c r="AH40" i="24"/>
  <c r="AF28" i="24"/>
  <c r="S57" i="24"/>
  <c r="S46" i="24"/>
  <c r="AH44" i="24"/>
  <c r="U13" i="24"/>
  <c r="X11" i="24"/>
  <c r="AW45" i="17" l="1"/>
  <c r="Z45" i="17"/>
  <c r="AA45" i="17"/>
  <c r="Z42" i="17"/>
  <c r="AA42" i="17"/>
  <c r="AW42" i="17"/>
  <c r="AU79" i="19"/>
  <c r="AF32" i="45"/>
  <c r="AI32" i="45" s="1"/>
  <c r="AE32" i="45"/>
  <c r="AH32" i="45" s="1"/>
  <c r="AE33" i="45"/>
  <c r="AF33" i="45"/>
  <c r="Y44" i="10"/>
  <c r="AA44" i="10" s="1"/>
  <c r="Y52" i="10"/>
  <c r="AA52" i="10" s="1"/>
  <c r="X52" i="10"/>
  <c r="Z52" i="10" s="1"/>
  <c r="X44" i="10"/>
  <c r="Z44" i="10" s="1"/>
  <c r="Y50" i="10"/>
  <c r="AA50" i="10" s="1"/>
  <c r="X46" i="10"/>
  <c r="Z46" i="10" s="1"/>
  <c r="Y51" i="10"/>
  <c r="AA51" i="10" s="1"/>
  <c r="X50" i="10"/>
  <c r="Z50" i="10" s="1"/>
  <c r="X45" i="10"/>
  <c r="Z45" i="10" s="1"/>
  <c r="Y46" i="10"/>
  <c r="AA46" i="10" s="1"/>
  <c r="Y45" i="10"/>
  <c r="AA45" i="10" s="1"/>
  <c r="X51" i="10"/>
  <c r="Z51" i="10" s="1"/>
  <c r="AP27" i="10"/>
  <c r="Y61" i="46"/>
  <c r="Y43" i="19"/>
  <c r="AX40" i="27"/>
  <c r="AF40" i="27"/>
  <c r="AC17" i="16"/>
  <c r="O17" i="16"/>
  <c r="AX107" i="27"/>
  <c r="O20" i="16"/>
  <c r="AC20" i="16"/>
  <c r="AC18" i="16"/>
  <c r="O18" i="16"/>
  <c r="AX77" i="27"/>
  <c r="AG77" i="27"/>
  <c r="AX69" i="27"/>
  <c r="AG69" i="27"/>
  <c r="V11" i="9"/>
  <c r="AR10" i="9"/>
  <c r="AQ11" i="9"/>
  <c r="AI34" i="22"/>
  <c r="X36" i="27"/>
  <c r="X40" i="27"/>
  <c r="X44" i="27"/>
  <c r="Z44" i="27" s="1"/>
  <c r="X49" i="27"/>
  <c r="X54" i="27"/>
  <c r="Z54" i="27" s="1"/>
  <c r="X37" i="27"/>
  <c r="Z37" i="27" s="1"/>
  <c r="X41" i="27"/>
  <c r="Z41" i="27" s="1"/>
  <c r="X45" i="27"/>
  <c r="Z45" i="27" s="1"/>
  <c r="X50" i="27"/>
  <c r="Z50" i="27" s="1"/>
  <c r="X55" i="27"/>
  <c r="X38" i="27"/>
  <c r="X46" i="27"/>
  <c r="X34" i="27"/>
  <c r="X51" i="27"/>
  <c r="X39" i="27"/>
  <c r="Z39" i="27" s="1"/>
  <c r="X47" i="27"/>
  <c r="Z47" i="27" s="1"/>
  <c r="X35" i="27"/>
  <c r="X42" i="27"/>
  <c r="X43" i="27"/>
  <c r="X53" i="27"/>
  <c r="Z28" i="28"/>
  <c r="BD82" i="46"/>
  <c r="AF82" i="13"/>
  <c r="AV34" i="28"/>
  <c r="AD39" i="28"/>
  <c r="AD35" i="28"/>
  <c r="AF35" i="28" s="1"/>
  <c r="AD41" i="28"/>
  <c r="AF41" i="28" s="1"/>
  <c r="AD34" i="28"/>
  <c r="AF34" i="28" s="1"/>
  <c r="AU83" i="19"/>
  <c r="BF22" i="46"/>
  <c r="AG22" i="46"/>
  <c r="AF34" i="13"/>
  <c r="V84" i="46"/>
  <c r="V87" i="46"/>
  <c r="U80" i="46"/>
  <c r="V80" i="46"/>
  <c r="V83" i="46"/>
  <c r="U85" i="46"/>
  <c r="X85" i="46" s="1"/>
  <c r="V79" i="46"/>
  <c r="U81" i="46"/>
  <c r="U84" i="46"/>
  <c r="V86" i="46"/>
  <c r="Y86" i="46" s="1"/>
  <c r="U79" i="46"/>
  <c r="U82" i="46"/>
  <c r="X82" i="46" s="1"/>
  <c r="V82" i="46"/>
  <c r="Y82" i="46" s="1"/>
  <c r="V85" i="46"/>
  <c r="Y85" i="46" s="1"/>
  <c r="V81" i="46"/>
  <c r="U87" i="46"/>
  <c r="U86" i="46"/>
  <c r="X86" i="46" s="1"/>
  <c r="U83" i="46"/>
  <c r="X83" i="46" s="1"/>
  <c r="W118" i="22"/>
  <c r="P9" i="23"/>
  <c r="R9" i="23" s="1"/>
  <c r="Q13" i="23"/>
  <c r="S13" i="23" s="1"/>
  <c r="Q8" i="23"/>
  <c r="S8" i="23" s="1"/>
  <c r="Q17" i="23"/>
  <c r="S17" i="23" s="1"/>
  <c r="Q28" i="23"/>
  <c r="S28" i="23" s="1"/>
  <c r="P27" i="23"/>
  <c r="R27" i="23" s="1"/>
  <c r="Q15" i="23"/>
  <c r="S15" i="23" s="1"/>
  <c r="Q9" i="23"/>
  <c r="S9" i="23" s="1"/>
  <c r="Q27" i="23"/>
  <c r="S27" i="23" s="1"/>
  <c r="P11" i="23"/>
  <c r="R11" i="23" s="1"/>
  <c r="P15" i="23"/>
  <c r="R15" i="23" s="1"/>
  <c r="P28" i="23"/>
  <c r="R28" i="23" s="1"/>
  <c r="P17" i="23"/>
  <c r="R17" i="23" s="1"/>
  <c r="Q19" i="23"/>
  <c r="S19" i="23" s="1"/>
  <c r="P18" i="23"/>
  <c r="R18" i="23" s="1"/>
  <c r="Q26" i="23"/>
  <c r="S26" i="23" s="1"/>
  <c r="Q11" i="23"/>
  <c r="S11" i="23" s="1"/>
  <c r="Q7" i="23"/>
  <c r="S7" i="23" s="1"/>
  <c r="P22" i="23"/>
  <c r="R22" i="23" s="1"/>
  <c r="P10" i="23"/>
  <c r="R10" i="23" s="1"/>
  <c r="P7" i="23"/>
  <c r="R7" i="23" s="1"/>
  <c r="P23" i="23"/>
  <c r="R23" i="23" s="1"/>
  <c r="Q24" i="23"/>
  <c r="S24" i="23" s="1"/>
  <c r="Q23" i="23"/>
  <c r="S23" i="23" s="1"/>
  <c r="Q14" i="23"/>
  <c r="S14" i="23" s="1"/>
  <c r="Q16" i="23"/>
  <c r="S16" i="23" s="1"/>
  <c r="P13" i="23"/>
  <c r="R13" i="23" s="1"/>
  <c r="Q18" i="23"/>
  <c r="S18" i="23" s="1"/>
  <c r="Q20" i="23"/>
  <c r="S20" i="23" s="1"/>
  <c r="X28" i="22"/>
  <c r="R28" i="22"/>
  <c r="AU85" i="19"/>
  <c r="X47" i="28"/>
  <c r="Z47" i="28" s="1"/>
  <c r="X48" i="28"/>
  <c r="X46" i="28"/>
  <c r="Z46" i="28" s="1"/>
  <c r="X52" i="28"/>
  <c r="X54" i="28"/>
  <c r="Z54" i="28" s="1"/>
  <c r="X53" i="28"/>
  <c r="X87" i="17"/>
  <c r="Z87" i="17" s="1"/>
  <c r="X99" i="17"/>
  <c r="Z99" i="17" s="1"/>
  <c r="X94" i="17"/>
  <c r="Z94" i="17" s="1"/>
  <c r="X89" i="17"/>
  <c r="Z89" i="17" s="1"/>
  <c r="X103" i="17"/>
  <c r="Z103" i="17" s="1"/>
  <c r="X106" i="17"/>
  <c r="Z106" i="17" s="1"/>
  <c r="X98" i="17"/>
  <c r="Z98" i="17" s="1"/>
  <c r="X93" i="17"/>
  <c r="Z93" i="17" s="1"/>
  <c r="X88" i="17"/>
  <c r="Z88" i="17" s="1"/>
  <c r="X86" i="17"/>
  <c r="Z86" i="17" s="1"/>
  <c r="X91" i="17"/>
  <c r="Z91" i="17" s="1"/>
  <c r="X92" i="17"/>
  <c r="Z92" i="17" s="1"/>
  <c r="X101" i="17"/>
  <c r="Z101" i="17" s="1"/>
  <c r="X95" i="17"/>
  <c r="Z95" i="17" s="1"/>
  <c r="X102" i="17"/>
  <c r="Z102" i="17" s="1"/>
  <c r="X96" i="17"/>
  <c r="Z96" i="17" s="1"/>
  <c r="X105" i="17"/>
  <c r="Z105" i="17" s="1"/>
  <c r="X90" i="17"/>
  <c r="Z90" i="17" s="1"/>
  <c r="X107" i="17"/>
  <c r="Z107" i="17" s="1"/>
  <c r="X97" i="17"/>
  <c r="Z97" i="17" s="1"/>
  <c r="U86" i="23"/>
  <c r="W86" i="23" s="1"/>
  <c r="U93" i="23"/>
  <c r="W93" i="23" s="1"/>
  <c r="U99" i="23"/>
  <c r="W99" i="23" s="1"/>
  <c r="U105" i="23"/>
  <c r="W105" i="23" s="1"/>
  <c r="U103" i="23"/>
  <c r="W103" i="23" s="1"/>
  <c r="U92" i="23"/>
  <c r="W92" i="23" s="1"/>
  <c r="U101" i="23"/>
  <c r="W101" i="23" s="1"/>
  <c r="U107" i="23"/>
  <c r="U89" i="23"/>
  <c r="W89" i="23" s="1"/>
  <c r="U96" i="23"/>
  <c r="W96" i="23" s="1"/>
  <c r="U98" i="23"/>
  <c r="W98" i="23" s="1"/>
  <c r="U88" i="23"/>
  <c r="U94" i="23"/>
  <c r="U91" i="23"/>
  <c r="W91" i="23" s="1"/>
  <c r="U106" i="23"/>
  <c r="W106" i="23" s="1"/>
  <c r="U90" i="23"/>
  <c r="W90" i="23" s="1"/>
  <c r="X93" i="27"/>
  <c r="Z93" i="27" s="1"/>
  <c r="X86" i="27"/>
  <c r="Z86" i="27" s="1"/>
  <c r="X98" i="27"/>
  <c r="Z98" i="27" s="1"/>
  <c r="X102" i="27"/>
  <c r="Z102" i="27" s="1"/>
  <c r="X88" i="27"/>
  <c r="X95" i="27"/>
  <c r="Z95" i="27" s="1"/>
  <c r="X94" i="27"/>
  <c r="Z94" i="27" s="1"/>
  <c r="X87" i="27"/>
  <c r="X106" i="27"/>
  <c r="X99" i="27"/>
  <c r="Z99" i="27" s="1"/>
  <c r="X103" i="27"/>
  <c r="Z103" i="27" s="1"/>
  <c r="X90" i="27"/>
  <c r="Z90" i="27" s="1"/>
  <c r="X92" i="27"/>
  <c r="X101" i="27"/>
  <c r="X89" i="27"/>
  <c r="Z89" i="27" s="1"/>
  <c r="X91" i="27"/>
  <c r="X105" i="27"/>
  <c r="Z105" i="27" s="1"/>
  <c r="X96" i="27"/>
  <c r="X97" i="27"/>
  <c r="Z97" i="27" s="1"/>
  <c r="X107" i="27"/>
  <c r="R12" i="22"/>
  <c r="AN83" i="46"/>
  <c r="S12" i="27"/>
  <c r="X9" i="19"/>
  <c r="AN34" i="46"/>
  <c r="AS7" i="9"/>
  <c r="AS8" i="9"/>
  <c r="AP96" i="13"/>
  <c r="Y96" i="13"/>
  <c r="AE79" i="17"/>
  <c r="AG79" i="17" s="1"/>
  <c r="AE61" i="17"/>
  <c r="AG61" i="17" s="1"/>
  <c r="AE60" i="17"/>
  <c r="AG60" i="17" s="1"/>
  <c r="AE66" i="17"/>
  <c r="AG66" i="17" s="1"/>
  <c r="AE73" i="17"/>
  <c r="AG73" i="17" s="1"/>
  <c r="AE76" i="17"/>
  <c r="AG76" i="17" s="1"/>
  <c r="AE72" i="17"/>
  <c r="AG72" i="17" s="1"/>
  <c r="AE81" i="17"/>
  <c r="AG81" i="17" s="1"/>
  <c r="AE63" i="17"/>
  <c r="AG63" i="17" s="1"/>
  <c r="AE68" i="17"/>
  <c r="AG68" i="17" s="1"/>
  <c r="AE70" i="17"/>
  <c r="AG70" i="17" s="1"/>
  <c r="AE69" i="17"/>
  <c r="AG69" i="17" s="1"/>
  <c r="AE77" i="17"/>
  <c r="AG77" i="17" s="1"/>
  <c r="AE67" i="17"/>
  <c r="AG67" i="17" s="1"/>
  <c r="AE75" i="17"/>
  <c r="AG75" i="17" s="1"/>
  <c r="AE65" i="17"/>
  <c r="AG65" i="17" s="1"/>
  <c r="AE64" i="17"/>
  <c r="AG64" i="17" s="1"/>
  <c r="AE62" i="17"/>
  <c r="AG62" i="17" s="1"/>
  <c r="AE71" i="17"/>
  <c r="AG71" i="17" s="1"/>
  <c r="AE80" i="17"/>
  <c r="AG80" i="17" s="1"/>
  <c r="V67" i="19"/>
  <c r="Y67" i="19" s="1"/>
  <c r="V71" i="19"/>
  <c r="V74" i="19"/>
  <c r="Y74" i="19" s="1"/>
  <c r="U73" i="19"/>
  <c r="V75" i="19"/>
  <c r="Y75" i="19" s="1"/>
  <c r="U69" i="19"/>
  <c r="U72" i="19"/>
  <c r="X72" i="19" s="1"/>
  <c r="V68" i="19"/>
  <c r="Y68" i="19" s="1"/>
  <c r="U74" i="19"/>
  <c r="X74" i="19" s="1"/>
  <c r="V73" i="19"/>
  <c r="U70" i="19"/>
  <c r="X70" i="19" s="1"/>
  <c r="U67" i="19"/>
  <c r="X67" i="19" s="1"/>
  <c r="V70" i="19"/>
  <c r="Y70" i="19" s="1"/>
  <c r="V72" i="19"/>
  <c r="Y72" i="19" s="1"/>
  <c r="U68" i="19"/>
  <c r="X68" i="19" s="1"/>
  <c r="V69" i="19"/>
  <c r="U71" i="19"/>
  <c r="U75" i="19"/>
  <c r="X75" i="19" s="1"/>
  <c r="P7" i="28"/>
  <c r="R7" i="28" s="1"/>
  <c r="P11" i="28"/>
  <c r="R11" i="28" s="1"/>
  <c r="Q14" i="28"/>
  <c r="S14" i="28" s="1"/>
  <c r="P10" i="28"/>
  <c r="R10" i="28" s="1"/>
  <c r="Q13" i="28"/>
  <c r="S13" i="28" s="1"/>
  <c r="P8" i="28"/>
  <c r="R8" i="28" s="1"/>
  <c r="Q7" i="28"/>
  <c r="S7" i="28" s="1"/>
  <c r="R12" i="27"/>
  <c r="AG60" i="27"/>
  <c r="AN82" i="46"/>
  <c r="Q11" i="28"/>
  <c r="S11" i="28" s="1"/>
  <c r="AF60" i="27"/>
  <c r="AC19" i="16"/>
  <c r="O19" i="16"/>
  <c r="AC8" i="16"/>
  <c r="O8" i="16"/>
  <c r="X16" i="27"/>
  <c r="S16" i="27"/>
  <c r="U60" i="22"/>
  <c r="W60" i="22" s="1"/>
  <c r="U76" i="22"/>
  <c r="W76" i="22" s="1"/>
  <c r="U73" i="22"/>
  <c r="W73" i="22" s="1"/>
  <c r="U79" i="22"/>
  <c r="W79" i="22" s="1"/>
  <c r="U65" i="22"/>
  <c r="W65" i="22" s="1"/>
  <c r="U71" i="22"/>
  <c r="W71" i="22" s="1"/>
  <c r="U81" i="22"/>
  <c r="U63" i="22"/>
  <c r="W63" i="22" s="1"/>
  <c r="U69" i="22"/>
  <c r="W69" i="22" s="1"/>
  <c r="U61" i="22"/>
  <c r="W61" i="22" s="1"/>
  <c r="U64" i="22"/>
  <c r="W64" i="22" s="1"/>
  <c r="V42" i="23"/>
  <c r="X42" i="23" s="1"/>
  <c r="V38" i="23"/>
  <c r="X38" i="23" s="1"/>
  <c r="V46" i="23"/>
  <c r="X46" i="23" s="1"/>
  <c r="V39" i="23"/>
  <c r="X39" i="23" s="1"/>
  <c r="V51" i="23"/>
  <c r="X51" i="23" s="1"/>
  <c r="V43" i="23"/>
  <c r="X43" i="23" s="1"/>
  <c r="V37" i="23"/>
  <c r="X37" i="23" s="1"/>
  <c r="V49" i="23"/>
  <c r="X49" i="23" s="1"/>
  <c r="V41" i="23"/>
  <c r="X41" i="23" s="1"/>
  <c r="V45" i="23"/>
  <c r="X45" i="23" s="1"/>
  <c r="V55" i="23"/>
  <c r="X55" i="23" s="1"/>
  <c r="V34" i="23"/>
  <c r="X34" i="23" s="1"/>
  <c r="V54" i="23"/>
  <c r="X54" i="23" s="1"/>
  <c r="V35" i="23"/>
  <c r="X35" i="23" s="1"/>
  <c r="V53" i="23"/>
  <c r="X53" i="23" s="1"/>
  <c r="V50" i="23"/>
  <c r="X50" i="23" s="1"/>
  <c r="V36" i="23"/>
  <c r="X36" i="23" s="1"/>
  <c r="V44" i="23"/>
  <c r="X44" i="23" s="1"/>
  <c r="V40" i="23"/>
  <c r="X40" i="23" s="1"/>
  <c r="AI77" i="22"/>
  <c r="AQ36" i="23"/>
  <c r="W36" i="23"/>
  <c r="AA27" i="10"/>
  <c r="AP36" i="13"/>
  <c r="Z36" i="13"/>
  <c r="AA46" i="17"/>
  <c r="AW46" i="17"/>
  <c r="AW38" i="17"/>
  <c r="Z38" i="17"/>
  <c r="AA38" i="17"/>
  <c r="R10" i="38"/>
  <c r="S10" i="38"/>
  <c r="X10" i="38"/>
  <c r="O10" i="38"/>
  <c r="R7" i="38"/>
  <c r="O7" i="38"/>
  <c r="S7" i="38"/>
  <c r="X7" i="38"/>
  <c r="W21" i="38"/>
  <c r="AP21" i="38"/>
  <c r="V21" i="38"/>
  <c r="BF14" i="46"/>
  <c r="AG23" i="46"/>
  <c r="BF25" i="46"/>
  <c r="AG25" i="46"/>
  <c r="AE10" i="13"/>
  <c r="U77" i="19"/>
  <c r="AJ37" i="18"/>
  <c r="AY37" i="18"/>
  <c r="AE82" i="13"/>
  <c r="U6" i="46"/>
  <c r="AS7" i="45"/>
  <c r="BI8" i="45"/>
  <c r="AS8" i="45"/>
  <c r="S12" i="22"/>
  <c r="AF23" i="46"/>
  <c r="P7" i="17"/>
  <c r="R7" i="17" s="1"/>
  <c r="P11" i="17"/>
  <c r="Q11" i="17"/>
  <c r="S11" i="17" s="1"/>
  <c r="Q10" i="17"/>
  <c r="S10" i="17" s="1"/>
  <c r="P27" i="17"/>
  <c r="R27" i="17" s="1"/>
  <c r="Q19" i="17"/>
  <c r="S19" i="17" s="1"/>
  <c r="P23" i="17"/>
  <c r="R23" i="17" s="1"/>
  <c r="P14" i="17"/>
  <c r="R14" i="17" s="1"/>
  <c r="P16" i="17"/>
  <c r="R16" i="17" s="1"/>
  <c r="Q18" i="17"/>
  <c r="S18" i="17" s="1"/>
  <c r="Q13" i="17"/>
  <c r="S13" i="17" s="1"/>
  <c r="Q12" i="17"/>
  <c r="S12" i="17" s="1"/>
  <c r="P9" i="17"/>
  <c r="R9" i="17" s="1"/>
  <c r="Q22" i="17"/>
  <c r="S22" i="17" s="1"/>
  <c r="P12" i="17"/>
  <c r="R12" i="17" s="1"/>
  <c r="P8" i="17"/>
  <c r="R8" i="17" s="1"/>
  <c r="Q24" i="17"/>
  <c r="S24" i="17" s="1"/>
  <c r="Q17" i="17"/>
  <c r="S17" i="17" s="1"/>
  <c r="Q27" i="17"/>
  <c r="S27" i="17" s="1"/>
  <c r="Q26" i="17"/>
  <c r="S26" i="17" s="1"/>
  <c r="P15" i="17"/>
  <c r="R15" i="17" s="1"/>
  <c r="Q14" i="17"/>
  <c r="S14" i="17" s="1"/>
  <c r="P10" i="17"/>
  <c r="R10" i="17" s="1"/>
  <c r="Q8" i="17"/>
  <c r="S8" i="17" s="1"/>
  <c r="P19" i="17"/>
  <c r="R19" i="17" s="1"/>
  <c r="P28" i="17"/>
  <c r="R28" i="17" s="1"/>
  <c r="P18" i="17"/>
  <c r="R18" i="17" s="1"/>
  <c r="Q9" i="17"/>
  <c r="S9" i="17" s="1"/>
  <c r="P17" i="17"/>
  <c r="R17" i="17" s="1"/>
  <c r="Q16" i="17"/>
  <c r="S16" i="17" s="1"/>
  <c r="Q28" i="17"/>
  <c r="S28" i="17" s="1"/>
  <c r="P20" i="17"/>
  <c r="R20" i="17" s="1"/>
  <c r="S24" i="27"/>
  <c r="V28" i="18"/>
  <c r="W27" i="18"/>
  <c r="Z27" i="18" s="1"/>
  <c r="W28" i="18"/>
  <c r="V27" i="18"/>
  <c r="Y27" i="18" s="1"/>
  <c r="Y47" i="28"/>
  <c r="AA47" i="28" s="1"/>
  <c r="Y46" i="28"/>
  <c r="AA46" i="28" s="1"/>
  <c r="Y53" i="28"/>
  <c r="Y48" i="28"/>
  <c r="AA48" i="28" s="1"/>
  <c r="Y54" i="28"/>
  <c r="AA54" i="28" s="1"/>
  <c r="Y52" i="28"/>
  <c r="AE28" i="45"/>
  <c r="AH28" i="45" s="1"/>
  <c r="AE27" i="45"/>
  <c r="AF27" i="45"/>
  <c r="AF28" i="45"/>
  <c r="AI28" i="45" s="1"/>
  <c r="Y107" i="17"/>
  <c r="AA107" i="17" s="1"/>
  <c r="Y94" i="17"/>
  <c r="AA94" i="17" s="1"/>
  <c r="Y101" i="17"/>
  <c r="AA101" i="17" s="1"/>
  <c r="Y102" i="17"/>
  <c r="AA102" i="17" s="1"/>
  <c r="Y97" i="17"/>
  <c r="AA97" i="17" s="1"/>
  <c r="Y96" i="17"/>
  <c r="AA96" i="17" s="1"/>
  <c r="Y103" i="17"/>
  <c r="AA103" i="17" s="1"/>
  <c r="Y91" i="17"/>
  <c r="AA91" i="17" s="1"/>
  <c r="Y87" i="17"/>
  <c r="AA87" i="17" s="1"/>
  <c r="Y98" i="17"/>
  <c r="AA98" i="17" s="1"/>
  <c r="Y106" i="17"/>
  <c r="AA106" i="17" s="1"/>
  <c r="Y89" i="17"/>
  <c r="AA89" i="17" s="1"/>
  <c r="Y92" i="17"/>
  <c r="AA92" i="17" s="1"/>
  <c r="Y93" i="17"/>
  <c r="AA93" i="17" s="1"/>
  <c r="Y95" i="17"/>
  <c r="AA95" i="17" s="1"/>
  <c r="Y86" i="17"/>
  <c r="AA86" i="17" s="1"/>
  <c r="Y105" i="17"/>
  <c r="AA105" i="17" s="1"/>
  <c r="Y90" i="17"/>
  <c r="AA90" i="17" s="1"/>
  <c r="Y99" i="17"/>
  <c r="AA99" i="17" s="1"/>
  <c r="Y88" i="17"/>
  <c r="AA88" i="17" s="1"/>
  <c r="Y9" i="19"/>
  <c r="R27" i="27"/>
  <c r="AG40" i="27"/>
  <c r="AC9" i="16"/>
  <c r="O9" i="16"/>
  <c r="Y35" i="27"/>
  <c r="AA35" i="27" s="1"/>
  <c r="Y55" i="27"/>
  <c r="Y51" i="27"/>
  <c r="Y47" i="27"/>
  <c r="AA47" i="27" s="1"/>
  <c r="Y44" i="27"/>
  <c r="AA44" i="27" s="1"/>
  <c r="Y40" i="27"/>
  <c r="Y36" i="27"/>
  <c r="Y54" i="27"/>
  <c r="AA54" i="27" s="1"/>
  <c r="Y50" i="27"/>
  <c r="AA50" i="27" s="1"/>
  <c r="Y43" i="27"/>
  <c r="Y39" i="27"/>
  <c r="AA39" i="27" s="1"/>
  <c r="Y53" i="27"/>
  <c r="Y45" i="27"/>
  <c r="AA45" i="27" s="1"/>
  <c r="Y37" i="27"/>
  <c r="AA37" i="27" s="1"/>
  <c r="Y42" i="27"/>
  <c r="Y34" i="27"/>
  <c r="Y41" i="27"/>
  <c r="AA41" i="27" s="1"/>
  <c r="Y46" i="27"/>
  <c r="Y38" i="27"/>
  <c r="Y49" i="27"/>
  <c r="Z51" i="17"/>
  <c r="AA51" i="17"/>
  <c r="AW51" i="17"/>
  <c r="X61" i="46"/>
  <c r="AC8" i="46"/>
  <c r="AD8" i="46"/>
  <c r="AD11" i="46"/>
  <c r="AD12" i="46"/>
  <c r="AD7" i="46"/>
  <c r="AG7" i="46" s="1"/>
  <c r="AC10" i="46"/>
  <c r="AF10" i="46" s="1"/>
  <c r="AD10" i="46"/>
  <c r="AG10" i="46" s="1"/>
  <c r="AC9" i="46"/>
  <c r="AF9" i="46" s="1"/>
  <c r="AC15" i="46"/>
  <c r="AF15" i="46" s="1"/>
  <c r="AD13" i="46"/>
  <c r="AC7" i="46"/>
  <c r="AC13" i="46"/>
  <c r="AC14" i="46"/>
  <c r="AF14" i="46" s="1"/>
  <c r="AD9" i="46"/>
  <c r="AG9" i="46" s="1"/>
  <c r="AC11" i="46"/>
  <c r="AD14" i="46"/>
  <c r="AG14" i="46" s="1"/>
  <c r="AC12" i="46"/>
  <c r="AD15" i="46"/>
  <c r="AA27" i="25"/>
  <c r="AB27" i="25"/>
  <c r="AA28" i="25"/>
  <c r="AB28" i="25"/>
  <c r="Q8" i="28"/>
  <c r="S8" i="28" s="1"/>
  <c r="U32" i="22"/>
  <c r="T32" i="22"/>
  <c r="T18" i="24"/>
  <c r="AE11" i="10"/>
  <c r="AD11" i="10"/>
  <c r="AB5" i="12"/>
  <c r="AB12" i="12"/>
  <c r="U18" i="24"/>
  <c r="AC12" i="12"/>
  <c r="AR5" i="9"/>
  <c r="AR6" i="9"/>
  <c r="AC5" i="12"/>
  <c r="AM5" i="9"/>
  <c r="V5" i="9"/>
  <c r="U5" i="9"/>
  <c r="AC15" i="16"/>
  <c r="O15" i="16"/>
  <c r="T79" i="22"/>
  <c r="V79" i="22" s="1"/>
  <c r="T62" i="22"/>
  <c r="V62" i="22" s="1"/>
  <c r="T65" i="22"/>
  <c r="V65" i="22" s="1"/>
  <c r="T68" i="22"/>
  <c r="V68" i="22" s="1"/>
  <c r="T71" i="22"/>
  <c r="V71" i="22" s="1"/>
  <c r="T60" i="22"/>
  <c r="T81" i="22"/>
  <c r="T75" i="22"/>
  <c r="V75" i="22" s="1"/>
  <c r="T63" i="22"/>
  <c r="V63" i="22" s="1"/>
  <c r="T69" i="22"/>
  <c r="V69" i="22" s="1"/>
  <c r="T77" i="22"/>
  <c r="V77" i="22" s="1"/>
  <c r="T61" i="22"/>
  <c r="V61" i="22" s="1"/>
  <c r="T66" i="22"/>
  <c r="V66" i="22" s="1"/>
  <c r="T72" i="22"/>
  <c r="V72" i="22" s="1"/>
  <c r="T76" i="22"/>
  <c r="V76" i="22" s="1"/>
  <c r="T70" i="22"/>
  <c r="T73" i="22"/>
  <c r="V73" i="22" s="1"/>
  <c r="T64" i="22"/>
  <c r="V64" i="22" s="1"/>
  <c r="T80" i="22"/>
  <c r="V80" i="22" s="1"/>
  <c r="T67" i="22"/>
  <c r="V67" i="22" s="1"/>
  <c r="V81" i="22"/>
  <c r="W81" i="22"/>
  <c r="AI81" i="22"/>
  <c r="AX39" i="28"/>
  <c r="AF39" i="28"/>
  <c r="BD37" i="46"/>
  <c r="X37" i="46"/>
  <c r="AC17" i="19"/>
  <c r="AK12" i="18"/>
  <c r="AK13" i="18"/>
  <c r="BF26" i="46"/>
  <c r="AF26" i="46"/>
  <c r="AG26" i="46"/>
  <c r="AU80" i="19"/>
  <c r="AG98" i="46"/>
  <c r="Z96" i="13"/>
  <c r="AD34" i="19"/>
  <c r="AG34" i="19" s="1"/>
  <c r="AC34" i="19"/>
  <c r="AF34" i="19" s="1"/>
  <c r="AC31" i="19"/>
  <c r="AF31" i="19" s="1"/>
  <c r="AD33" i="19"/>
  <c r="AG33" i="19" s="1"/>
  <c r="AD35" i="19"/>
  <c r="AG35" i="19" s="1"/>
  <c r="AD39" i="19"/>
  <c r="AG39" i="19" s="1"/>
  <c r="AC39" i="19"/>
  <c r="AF39" i="19" s="1"/>
  <c r="AC36" i="19"/>
  <c r="AF36" i="19" s="1"/>
  <c r="AC33" i="19"/>
  <c r="AF33" i="19" s="1"/>
  <c r="AC35" i="19"/>
  <c r="AF35" i="19" s="1"/>
  <c r="AD38" i="19"/>
  <c r="AG38" i="19" s="1"/>
  <c r="AD31" i="19"/>
  <c r="AG31" i="19" s="1"/>
  <c r="AC32" i="19"/>
  <c r="AF32" i="19" s="1"/>
  <c r="AC38" i="19"/>
  <c r="AF38" i="19" s="1"/>
  <c r="AC37" i="19"/>
  <c r="AF37" i="19" s="1"/>
  <c r="AD32" i="19"/>
  <c r="AG32" i="19" s="1"/>
  <c r="AD36" i="19"/>
  <c r="AG36" i="19" s="1"/>
  <c r="AD37" i="19"/>
  <c r="AG37" i="19" s="1"/>
  <c r="AC65" i="46"/>
  <c r="BK32" i="45"/>
  <c r="AF10" i="13"/>
  <c r="X42" i="45"/>
  <c r="W33" i="45"/>
  <c r="Z33" i="45" s="1"/>
  <c r="X23" i="45"/>
  <c r="AA23" i="45" s="1"/>
  <c r="X17" i="45"/>
  <c r="AA17" i="45" s="1"/>
  <c r="X33" i="45"/>
  <c r="AA33" i="45" s="1"/>
  <c r="W22" i="45"/>
  <c r="X38" i="45"/>
  <c r="W38" i="45"/>
  <c r="X27" i="45"/>
  <c r="AA27" i="45" s="1"/>
  <c r="X13" i="45"/>
  <c r="AA13" i="45" s="1"/>
  <c r="W27" i="45"/>
  <c r="Z27" i="45" s="1"/>
  <c r="W13" i="45"/>
  <c r="Z13" i="45" s="1"/>
  <c r="W12" i="45"/>
  <c r="X32" i="45"/>
  <c r="W32" i="45"/>
  <c r="X18" i="45"/>
  <c r="W23" i="45"/>
  <c r="Z23" i="45" s="1"/>
  <c r="X8" i="45"/>
  <c r="AA8" i="45" s="1"/>
  <c r="X43" i="45"/>
  <c r="AA43" i="45" s="1"/>
  <c r="X28" i="45"/>
  <c r="W37" i="45"/>
  <c r="Z37" i="45" s="1"/>
  <c r="W18" i="45"/>
  <c r="X37" i="45"/>
  <c r="AA37" i="45" s="1"/>
  <c r="W28" i="45"/>
  <c r="W8" i="45"/>
  <c r="Z8" i="45" s="1"/>
  <c r="W17" i="45"/>
  <c r="Z17" i="45" s="1"/>
  <c r="W7" i="45"/>
  <c r="Z7" i="45" s="1"/>
  <c r="W43" i="45"/>
  <c r="Z43" i="45" s="1"/>
  <c r="W42" i="45"/>
  <c r="X7" i="45"/>
  <c r="AA7" i="45" s="1"/>
  <c r="X22" i="45"/>
  <c r="X12" i="45"/>
  <c r="R16" i="27"/>
  <c r="AG67" i="27"/>
  <c r="AN84" i="46"/>
  <c r="W32" i="18"/>
  <c r="Z32" i="18" s="1"/>
  <c r="V32" i="18"/>
  <c r="Y32" i="18" s="1"/>
  <c r="W33" i="18"/>
  <c r="Z33" i="18" s="1"/>
  <c r="V33" i="18"/>
  <c r="Y33" i="18" s="1"/>
  <c r="Y86" i="27"/>
  <c r="AA86" i="27" s="1"/>
  <c r="Y95" i="27"/>
  <c r="AA95" i="27" s="1"/>
  <c r="Y92" i="27"/>
  <c r="Y106" i="27"/>
  <c r="Y87" i="27"/>
  <c r="Y105" i="27"/>
  <c r="AA105" i="27" s="1"/>
  <c r="Y97" i="27"/>
  <c r="Y101" i="27"/>
  <c r="Y90" i="27"/>
  <c r="AA90" i="27" s="1"/>
  <c r="Y93" i="27"/>
  <c r="AA93" i="27" s="1"/>
  <c r="Y103" i="27"/>
  <c r="AA103" i="27" s="1"/>
  <c r="Y99" i="27"/>
  <c r="AA99" i="27" s="1"/>
  <c r="Y91" i="27"/>
  <c r="Y107" i="27"/>
  <c r="Y88" i="27"/>
  <c r="AA88" i="27" s="1"/>
  <c r="Y96" i="27"/>
  <c r="Y102" i="27"/>
  <c r="AA102" i="27" s="1"/>
  <c r="Y94" i="27"/>
  <c r="Y89" i="27"/>
  <c r="AA89" i="27" s="1"/>
  <c r="Y98" i="27"/>
  <c r="V118" i="22"/>
  <c r="AH12" i="18"/>
  <c r="AF43" i="27"/>
  <c r="AF22" i="46"/>
  <c r="AC90" i="19"/>
  <c r="V127" i="22"/>
  <c r="W94" i="23"/>
  <c r="AB34" i="23"/>
  <c r="AD34" i="23" s="1"/>
  <c r="AB44" i="23"/>
  <c r="AD44" i="23" s="1"/>
  <c r="AB37" i="23"/>
  <c r="AD37" i="23" s="1"/>
  <c r="AE13" i="18"/>
  <c r="AH13" i="18" s="1"/>
  <c r="AA46" i="23"/>
  <c r="AC46" i="23" s="1"/>
  <c r="AA55" i="23"/>
  <c r="AC55" i="23" s="1"/>
  <c r="AA37" i="23"/>
  <c r="AC37" i="23" s="1"/>
  <c r="Q12" i="16"/>
  <c r="AD12" i="16"/>
  <c r="R12" i="16"/>
  <c r="AG11" i="16"/>
  <c r="AG12" i="16"/>
  <c r="AQ131" i="23"/>
  <c r="W127" i="22"/>
  <c r="AS46" i="23"/>
  <c r="AB53" i="23"/>
  <c r="AD53" i="23" s="1"/>
  <c r="AB38" i="23"/>
  <c r="AD38" i="23" s="1"/>
  <c r="AN7" i="45"/>
  <c r="AQ7" i="45" s="1"/>
  <c r="AA54" i="23"/>
  <c r="AC54" i="23" s="1"/>
  <c r="AA42" i="23"/>
  <c r="AC42" i="23" s="1"/>
  <c r="X97" i="23"/>
  <c r="X99" i="23"/>
  <c r="AD72" i="27"/>
  <c r="AD66" i="27"/>
  <c r="AD75" i="27"/>
  <c r="AF75" i="27" s="1"/>
  <c r="AD81" i="27"/>
  <c r="AD67" i="27"/>
  <c r="AF67" i="27" s="1"/>
  <c r="W47" i="23"/>
  <c r="AB55" i="23"/>
  <c r="AD55" i="23" s="1"/>
  <c r="AB54" i="23"/>
  <c r="AD54" i="23" s="1"/>
  <c r="AB51" i="23"/>
  <c r="AD51" i="23" s="1"/>
  <c r="AG16" i="16"/>
  <c r="AG15" i="16"/>
  <c r="Q16" i="16"/>
  <c r="AD16" i="16"/>
  <c r="R16" i="16"/>
  <c r="AA34" i="23"/>
  <c r="AC34" i="23" s="1"/>
  <c r="AA41" i="23"/>
  <c r="AC41" i="23" s="1"/>
  <c r="AA50" i="23"/>
  <c r="AC50" i="23" s="1"/>
  <c r="AA35" i="23"/>
  <c r="AC35" i="23" s="1"/>
  <c r="AA43" i="23"/>
  <c r="AC43" i="23" s="1"/>
  <c r="AA53" i="23"/>
  <c r="AC53" i="23" s="1"/>
  <c r="AA38" i="23"/>
  <c r="AC38" i="23" s="1"/>
  <c r="AA44" i="23"/>
  <c r="AC44" i="23" s="1"/>
  <c r="AA51" i="23"/>
  <c r="AC51" i="23" s="1"/>
  <c r="W107" i="23"/>
  <c r="AC12" i="16"/>
  <c r="Z31" i="13"/>
  <c r="W117" i="22"/>
  <c r="Q11" i="16"/>
  <c r="AM20" i="45"/>
  <c r="AE20" i="18"/>
  <c r="AD15" i="18"/>
  <c r="AD31" i="28"/>
  <c r="AE58" i="17"/>
  <c r="AB58" i="23"/>
  <c r="V121" i="22"/>
  <c r="AI55" i="22"/>
  <c r="V5" i="12"/>
  <c r="R5" i="24"/>
  <c r="AT10" i="9"/>
  <c r="AR11" i="9"/>
  <c r="AU11" i="9" s="1"/>
  <c r="AT11" i="9"/>
  <c r="Q23" i="16"/>
  <c r="AI23" i="16" s="1"/>
  <c r="AO81" i="46"/>
  <c r="R11" i="17"/>
  <c r="X86" i="23"/>
  <c r="AD11" i="16"/>
  <c r="AD20" i="18"/>
  <c r="AB20" i="25"/>
  <c r="AE37" i="28"/>
  <c r="T36" i="24"/>
  <c r="AA58" i="23"/>
  <c r="W5" i="12"/>
  <c r="Q5" i="24"/>
  <c r="V10" i="9"/>
  <c r="AG97" i="46"/>
  <c r="AA3" i="25"/>
  <c r="T96" i="46"/>
  <c r="BD96" i="46" s="1"/>
  <c r="T81" i="19"/>
  <c r="AT87" i="19"/>
  <c r="AT19" i="19"/>
  <c r="AT59" i="19"/>
  <c r="T73" i="19"/>
  <c r="T71" i="19"/>
  <c r="T69" i="19"/>
  <c r="U66" i="19"/>
  <c r="AT31" i="19"/>
  <c r="AT98" i="19"/>
  <c r="T98" i="19"/>
  <c r="AU98" i="19" s="1"/>
  <c r="AQ7" i="29"/>
  <c r="AQ11" i="29"/>
  <c r="AQ15" i="29"/>
  <c r="AQ34" i="29"/>
  <c r="AQ46" i="29"/>
  <c r="AQ51" i="29"/>
  <c r="AQ58" i="29"/>
  <c r="AQ62" i="29"/>
  <c r="AQ69" i="29"/>
  <c r="T9" i="29"/>
  <c r="AR9" i="29" s="1"/>
  <c r="T13" i="29"/>
  <c r="AR13" i="29" s="1"/>
  <c r="T43" i="29"/>
  <c r="AR43" i="29" s="1"/>
  <c r="T48" i="29"/>
  <c r="AR48" i="29" s="1"/>
  <c r="T67" i="29"/>
  <c r="AR67" i="29" s="1"/>
  <c r="AO33" i="13"/>
  <c r="AO38" i="13"/>
  <c r="S32" i="13"/>
  <c r="AQ33" i="13"/>
  <c r="T35" i="13"/>
  <c r="T15" i="13"/>
  <c r="T11" i="13"/>
  <c r="AQ7" i="13"/>
  <c r="T26" i="13"/>
  <c r="AR26" i="13" s="1"/>
  <c r="AQ24" i="13"/>
  <c r="AQ21" i="13"/>
  <c r="AQ59" i="13"/>
  <c r="AQ57" i="13"/>
  <c r="AQ55" i="13"/>
  <c r="T55" i="13"/>
  <c r="T84" i="13"/>
  <c r="T75" i="13"/>
  <c r="AR75" i="13" s="1"/>
  <c r="T24" i="12"/>
  <c r="S24" i="12"/>
  <c r="T43" i="13"/>
  <c r="AR43" i="13" s="1"/>
  <c r="AQ43" i="13"/>
  <c r="AK43" i="13"/>
  <c r="AL44" i="13"/>
  <c r="AI45" i="13"/>
  <c r="AG46" i="13"/>
  <c r="AH46" i="13"/>
  <c r="AL47" i="13"/>
  <c r="AG48" i="13"/>
  <c r="AH48" i="13"/>
  <c r="AL49" i="13"/>
  <c r="AK50" i="13"/>
  <c r="AL51" i="13"/>
  <c r="AI67" i="13"/>
  <c r="AK67" i="13"/>
  <c r="AI68" i="13"/>
  <c r="AO69" i="13"/>
  <c r="AL70" i="13"/>
  <c r="AK71" i="13"/>
  <c r="AL72" i="13"/>
  <c r="AK73" i="13"/>
  <c r="AG74" i="13"/>
  <c r="AI74" i="13"/>
  <c r="AK75" i="13"/>
  <c r="AG91" i="13"/>
  <c r="AH91" i="13"/>
  <c r="AG92" i="13"/>
  <c r="AH92" i="13"/>
  <c r="AL93" i="13"/>
  <c r="AL94" i="13"/>
  <c r="AI95" i="13"/>
  <c r="AK96" i="13"/>
  <c r="AG97" i="13"/>
  <c r="AH97" i="13"/>
  <c r="AI98" i="13"/>
  <c r="AL99" i="13"/>
  <c r="AL79" i="13"/>
  <c r="AL80" i="13"/>
  <c r="AG81" i="13"/>
  <c r="AH81" i="13"/>
  <c r="AK82" i="13"/>
  <c r="AG83" i="13"/>
  <c r="AH83" i="13"/>
  <c r="AH84" i="13"/>
  <c r="AL85" i="13"/>
  <c r="AI86" i="13"/>
  <c r="AK87" i="13"/>
  <c r="AG55" i="13"/>
  <c r="AI55" i="13"/>
  <c r="AK55" i="13"/>
  <c r="AK56" i="13"/>
  <c r="AG57" i="13"/>
  <c r="AH57" i="13"/>
  <c r="AK58" i="13"/>
  <c r="AG59" i="13"/>
  <c r="AI59" i="13"/>
  <c r="AK59" i="13"/>
  <c r="AG43" i="13"/>
  <c r="AH43" i="13"/>
  <c r="AI44" i="13"/>
  <c r="AL45" i="13"/>
  <c r="AK46" i="13"/>
  <c r="AG47" i="13"/>
  <c r="AH47" i="13"/>
  <c r="AK48" i="13"/>
  <c r="AG49" i="13"/>
  <c r="AI49" i="13"/>
  <c r="AH50" i="13"/>
  <c r="AI51" i="13"/>
  <c r="AL68" i="13"/>
  <c r="T68" i="13"/>
  <c r="AR68" i="13" s="1"/>
  <c r="AI69" i="13"/>
  <c r="AK69" i="13"/>
  <c r="AI70" i="13"/>
  <c r="AG71" i="13"/>
  <c r="AH71" i="13"/>
  <c r="AI72" i="13"/>
  <c r="AH73" i="13"/>
  <c r="AL74" i="13"/>
  <c r="AG75" i="13"/>
  <c r="AH75" i="13"/>
  <c r="AL91" i="13"/>
  <c r="AK92" i="13"/>
  <c r="AG93" i="13"/>
  <c r="AH93" i="13"/>
  <c r="AG94" i="13"/>
  <c r="AI94" i="13"/>
  <c r="AL95" i="13"/>
  <c r="AG96" i="13"/>
  <c r="AH96" i="13"/>
  <c r="AK97" i="13"/>
  <c r="AL98" i="13"/>
  <c r="AQ98" i="13"/>
  <c r="AI99" i="13"/>
  <c r="AG79" i="13"/>
  <c r="AH79" i="13"/>
  <c r="AQ79" i="13"/>
  <c r="AI80" i="13"/>
  <c r="AK81" i="13"/>
  <c r="AG82" i="13"/>
  <c r="AH82" i="13"/>
  <c r="AL83" i="13"/>
  <c r="AQ83" i="13"/>
  <c r="AK84" i="13"/>
  <c r="AI85" i="13"/>
  <c r="AL86" i="13"/>
  <c r="AG87" i="13"/>
  <c r="AH87" i="13"/>
  <c r="AH56" i="13"/>
  <c r="AK57" i="13"/>
  <c r="AG58" i="13"/>
  <c r="AH58" i="13"/>
  <c r="AP42" i="38"/>
  <c r="W42" i="38"/>
  <c r="X35" i="38"/>
  <c r="AP35" i="38"/>
  <c r="W35" i="38"/>
  <c r="S14" i="38"/>
  <c r="O14" i="38"/>
  <c r="AQ20" i="29"/>
  <c r="AQ25" i="29"/>
  <c r="AQ73" i="29"/>
  <c r="AQ80" i="29"/>
  <c r="AQ84" i="29"/>
  <c r="AQ91" i="29"/>
  <c r="AQ95" i="29"/>
  <c r="AQ99" i="29"/>
  <c r="T81" i="13"/>
  <c r="T92" i="13"/>
  <c r="AQ67" i="13"/>
  <c r="T67" i="13"/>
  <c r="AR67" i="13" s="1"/>
  <c r="S23" i="12"/>
  <c r="T96" i="29"/>
  <c r="AR96" i="29" s="1"/>
  <c r="T46" i="29"/>
  <c r="AR46" i="29" s="1"/>
  <c r="AO93" i="13"/>
  <c r="W21" i="10"/>
  <c r="AO21" i="10"/>
  <c r="AP28" i="38"/>
  <c r="W34" i="38"/>
  <c r="W29" i="38"/>
  <c r="W27" i="38"/>
  <c r="M11" i="38"/>
  <c r="AQ39" i="28"/>
  <c r="AO35" i="28"/>
  <c r="AR33" i="28"/>
  <c r="AQ20" i="28"/>
  <c r="AM20" i="28"/>
  <c r="Y20" i="28"/>
  <c r="AO22" i="28"/>
  <c r="AJ22" i="28"/>
  <c r="AR21" i="28"/>
  <c r="AN21" i="28"/>
  <c r="AI21" i="28"/>
  <c r="AP28" i="28"/>
  <c r="AL28" i="28"/>
  <c r="AR27" i="28"/>
  <c r="AN27" i="28"/>
  <c r="AI27" i="28"/>
  <c r="AR26" i="28"/>
  <c r="AN26" i="28"/>
  <c r="AI26" i="28"/>
  <c r="U14" i="28"/>
  <c r="U8" i="28"/>
  <c r="X21" i="28"/>
  <c r="Z21" i="28" s="1"/>
  <c r="K16" i="28"/>
  <c r="T11" i="28"/>
  <c r="X3" i="28"/>
  <c r="Y14" i="28"/>
  <c r="AH28" i="28"/>
  <c r="W20" i="28"/>
  <c r="AX16" i="28"/>
  <c r="AX23" i="28"/>
  <c r="AC28" i="28"/>
  <c r="AX28" i="28" s="1"/>
  <c r="W26" i="28"/>
  <c r="AU29" i="28"/>
  <c r="W35" i="28"/>
  <c r="AW34" i="28"/>
  <c r="AV36" i="28"/>
  <c r="AT49" i="28"/>
  <c r="W53" i="28"/>
  <c r="AA53" i="28" s="1"/>
  <c r="AA53" i="17"/>
  <c r="Z35" i="38"/>
  <c r="Z36" i="38"/>
  <c r="Y26" i="28"/>
  <c r="AC22" i="28"/>
  <c r="W27" i="28"/>
  <c r="V11" i="28"/>
  <c r="V8" i="28"/>
  <c r="AO42" i="38"/>
  <c r="V22" i="38"/>
  <c r="AD42" i="38"/>
  <c r="AR53" i="28"/>
  <c r="AR52" i="28"/>
  <c r="AR48" i="28"/>
  <c r="AR47" i="28"/>
  <c r="AR46" i="28"/>
  <c r="AR41" i="28"/>
  <c r="AO40" i="28"/>
  <c r="AR35" i="28"/>
  <c r="AQ34" i="28"/>
  <c r="AO33" i="28"/>
  <c r="AO20" i="28"/>
  <c r="AJ20" i="28"/>
  <c r="AQ22" i="28"/>
  <c r="AM22" i="28"/>
  <c r="AP21" i="28"/>
  <c r="AL21" i="28"/>
  <c r="AR28" i="28"/>
  <c r="AN28" i="28"/>
  <c r="AI28" i="28"/>
  <c r="AP27" i="28"/>
  <c r="AL27" i="28"/>
  <c r="Y27" i="28"/>
  <c r="AP26" i="28"/>
  <c r="AL26" i="28"/>
  <c r="U11" i="28"/>
  <c r="AQ40" i="28"/>
  <c r="G16" i="28"/>
  <c r="T7" i="28"/>
  <c r="W3" i="28"/>
  <c r="Y8" i="28"/>
  <c r="AH22" i="28"/>
  <c r="AW16" i="28"/>
  <c r="AT23" i="28"/>
  <c r="AV29" i="28"/>
  <c r="W40" i="28"/>
  <c r="AS55" i="28"/>
  <c r="AV42" i="28"/>
  <c r="AX42" i="28"/>
  <c r="AV49" i="28"/>
  <c r="AV55" i="28"/>
  <c r="AW59" i="28"/>
  <c r="AU62" i="28"/>
  <c r="X26" i="10"/>
  <c r="Z26" i="10" s="1"/>
  <c r="X21" i="10"/>
  <c r="X28" i="10"/>
  <c r="Z28" i="10" s="1"/>
  <c r="X22" i="10"/>
  <c r="Z22" i="10" s="1"/>
  <c r="AG5" i="16"/>
  <c r="AD6" i="16"/>
  <c r="R6" i="16"/>
  <c r="X55" i="17"/>
  <c r="Z55" i="17" s="1"/>
  <c r="X53" i="17"/>
  <c r="Z53" i="17" s="1"/>
  <c r="W14" i="17"/>
  <c r="AV41" i="17"/>
  <c r="AW30" i="17"/>
  <c r="AU30" i="17"/>
  <c r="AN34" i="17"/>
  <c r="T88" i="23"/>
  <c r="AQ88" i="23" s="1"/>
  <c r="AI90" i="22"/>
  <c r="AO8" i="9"/>
  <c r="Y8" i="9"/>
  <c r="N20" i="27"/>
  <c r="W20" i="27"/>
  <c r="AI98" i="22"/>
  <c r="U113" i="22"/>
  <c r="W113" i="22" s="1"/>
  <c r="U121" i="22"/>
  <c r="W121" i="22" s="1"/>
  <c r="U114" i="22"/>
  <c r="W114" i="22" s="1"/>
  <c r="U116" i="22"/>
  <c r="W116" i="22" s="1"/>
  <c r="AJ46" i="10"/>
  <c r="AN35" i="10"/>
  <c r="AA39" i="17"/>
  <c r="X36" i="17"/>
  <c r="Z36" i="17" s="1"/>
  <c r="AA35" i="17"/>
  <c r="X49" i="17"/>
  <c r="Z49" i="17" s="1"/>
  <c r="X46" i="17"/>
  <c r="Z46" i="17" s="1"/>
  <c r="AV55" i="17"/>
  <c r="AT82" i="17"/>
  <c r="V47" i="23"/>
  <c r="X47" i="23" s="1"/>
  <c r="AI53" i="23"/>
  <c r="AN82" i="23"/>
  <c r="AI43" i="23"/>
  <c r="X8" i="9"/>
  <c r="W23" i="22"/>
  <c r="N18" i="22"/>
  <c r="N15" i="22"/>
  <c r="X15" i="22" s="1"/>
  <c r="N10" i="22"/>
  <c r="S53" i="22"/>
  <c r="S70" i="22"/>
  <c r="AI70" i="22" s="1"/>
  <c r="S96" i="22"/>
  <c r="AH105" i="22"/>
  <c r="S120" i="22"/>
  <c r="W120" i="22" s="1"/>
  <c r="X6" i="9"/>
  <c r="R7" i="9"/>
  <c r="V60" i="22"/>
  <c r="AU56" i="27"/>
  <c r="AT56" i="27"/>
  <c r="AC88" i="27"/>
  <c r="AX88" i="27" s="1"/>
  <c r="AC94" i="27"/>
  <c r="V23" i="27"/>
  <c r="AO34" i="27"/>
  <c r="AO81" i="27"/>
  <c r="AO131" i="27"/>
  <c r="U72" i="22"/>
  <c r="W72" i="22" s="1"/>
  <c r="U70" i="22"/>
  <c r="U68" i="22"/>
  <c r="W68" i="22" s="1"/>
  <c r="U67" i="22"/>
  <c r="W67" i="22" s="1"/>
  <c r="U66" i="22"/>
  <c r="W66" i="22" s="1"/>
  <c r="W27" i="22"/>
  <c r="AH76" i="22"/>
  <c r="AH88" i="22"/>
  <c r="S91" i="22"/>
  <c r="S99" i="22"/>
  <c r="AC107" i="22"/>
  <c r="Z9" i="16"/>
  <c r="S14" i="16"/>
  <c r="AB18" i="16"/>
  <c r="AB7" i="16"/>
  <c r="W8" i="16"/>
  <c r="W18" i="16"/>
  <c r="S24" i="16"/>
  <c r="AE25" i="16"/>
  <c r="O14" i="16"/>
  <c r="Q14" i="16" s="1"/>
  <c r="AU82" i="27"/>
  <c r="AL44" i="27"/>
  <c r="AO42" i="27"/>
  <c r="AO92" i="27"/>
  <c r="U62" i="22"/>
  <c r="W62" i="22" s="1"/>
  <c r="U75" i="22"/>
  <c r="W75" i="22" s="1"/>
  <c r="U77" i="22"/>
  <c r="W77" i="22" s="1"/>
  <c r="U80" i="22"/>
  <c r="W80" i="22" s="1"/>
  <c r="AH44" i="22"/>
  <c r="AH60" i="22"/>
  <c r="AH71" i="22"/>
  <c r="D21" i="16"/>
  <c r="Z17" i="16"/>
  <c r="U24" i="16"/>
  <c r="AI24" i="16" s="1"/>
  <c r="AB14" i="16"/>
  <c r="M3" i="16"/>
  <c r="W12" i="16"/>
  <c r="AC5" i="16"/>
  <c r="S25" i="16"/>
  <c r="AF3" i="16"/>
  <c r="V38" i="24"/>
  <c r="AX37" i="27"/>
  <c r="AG37" i="27"/>
  <c r="AF37" i="27"/>
  <c r="AV77" i="27"/>
  <c r="AV97" i="27"/>
  <c r="AA97" i="27"/>
  <c r="AV36" i="27"/>
  <c r="Z36" i="27"/>
  <c r="AA36" i="27"/>
  <c r="AV67" i="27"/>
  <c r="AV92" i="27"/>
  <c r="AA92" i="27"/>
  <c r="Z92" i="27"/>
  <c r="AV113" i="27"/>
  <c r="AX119" i="27"/>
  <c r="BF86" i="46"/>
  <c r="BD51" i="46"/>
  <c r="BF39" i="46"/>
  <c r="AO36" i="46"/>
  <c r="AN36" i="46"/>
  <c r="AO15" i="46"/>
  <c r="AN15" i="46"/>
  <c r="AO11" i="46"/>
  <c r="AN11" i="46"/>
  <c r="BD25" i="46"/>
  <c r="BD95" i="46"/>
  <c r="BF11" i="46"/>
  <c r="AG11" i="46"/>
  <c r="AF11" i="46"/>
  <c r="BD46" i="46"/>
  <c r="U89" i="19"/>
  <c r="AY42" i="18"/>
  <c r="AJ43" i="18"/>
  <c r="AJ42" i="18"/>
  <c r="U17" i="46"/>
  <c r="BI12" i="45"/>
  <c r="AS13" i="45"/>
  <c r="AA12" i="45"/>
  <c r="Z12" i="45"/>
  <c r="AS12" i="45"/>
  <c r="AH13" i="45"/>
  <c r="AT12" i="45"/>
  <c r="AT13" i="45"/>
  <c r="AI13" i="45"/>
  <c r="AC18" i="46"/>
  <c r="BK13" i="45"/>
  <c r="AX125" i="27"/>
  <c r="AX61" i="28"/>
  <c r="X7" i="27"/>
  <c r="R7" i="27"/>
  <c r="S7" i="27"/>
  <c r="X23" i="27"/>
  <c r="S23" i="27"/>
  <c r="R23" i="27"/>
  <c r="AV55" i="27"/>
  <c r="AA55" i="27"/>
  <c r="Z55" i="27"/>
  <c r="AX46" i="27"/>
  <c r="AG46" i="27"/>
  <c r="AF46" i="27"/>
  <c r="AX62" i="27"/>
  <c r="AF62" i="27"/>
  <c r="AG62" i="27"/>
  <c r="AX80" i="27"/>
  <c r="AF80" i="27"/>
  <c r="AG80" i="27"/>
  <c r="AV61" i="27"/>
  <c r="AV70" i="27"/>
  <c r="AV96" i="27"/>
  <c r="AA96" i="27"/>
  <c r="Z96" i="27"/>
  <c r="AX90" i="27"/>
  <c r="AV116" i="27"/>
  <c r="AV129" i="27"/>
  <c r="AX120" i="27"/>
  <c r="X10" i="27"/>
  <c r="R10" i="27"/>
  <c r="S10" i="27"/>
  <c r="AV46" i="27"/>
  <c r="Z46" i="27"/>
  <c r="AA46" i="27"/>
  <c r="AX35" i="27"/>
  <c r="AG35" i="27"/>
  <c r="AF35" i="27"/>
  <c r="AX44" i="27"/>
  <c r="AG44" i="27"/>
  <c r="AF44" i="27"/>
  <c r="AF66" i="27"/>
  <c r="AX66" i="27"/>
  <c r="AG66" i="27"/>
  <c r="AX118" i="27"/>
  <c r="X17" i="27"/>
  <c r="R17" i="27"/>
  <c r="S17" i="27"/>
  <c r="AV34" i="27"/>
  <c r="Z34" i="27"/>
  <c r="AA34" i="27"/>
  <c r="AV51" i="27"/>
  <c r="Z51" i="27"/>
  <c r="AA51" i="27"/>
  <c r="AX47" i="27"/>
  <c r="AF47" i="27"/>
  <c r="AG47" i="27"/>
  <c r="AX65" i="27"/>
  <c r="AF65" i="27"/>
  <c r="AG65" i="27"/>
  <c r="AV65" i="27"/>
  <c r="AV73" i="27"/>
  <c r="AV88" i="27"/>
  <c r="Z88" i="27"/>
  <c r="AV103" i="27"/>
  <c r="AX97" i="27"/>
  <c r="AX114" i="27"/>
  <c r="AX131" i="27"/>
  <c r="AO86" i="46"/>
  <c r="AN86" i="46"/>
  <c r="BF71" i="46"/>
  <c r="BF70" i="46"/>
  <c r="BF55" i="46"/>
  <c r="BF51" i="46"/>
  <c r="AF51" i="46"/>
  <c r="AG51" i="46"/>
  <c r="BF50" i="46"/>
  <c r="AF50" i="46"/>
  <c r="AG50" i="46"/>
  <c r="BF49" i="46"/>
  <c r="AF49" i="46"/>
  <c r="AG49" i="46"/>
  <c r="BF48" i="46"/>
  <c r="AF48" i="46"/>
  <c r="AG48" i="46"/>
  <c r="BF47" i="46"/>
  <c r="AF47" i="46"/>
  <c r="AG47" i="46"/>
  <c r="BF46" i="46"/>
  <c r="AF46" i="46"/>
  <c r="AG46" i="46"/>
  <c r="BF45" i="46"/>
  <c r="AG45" i="46"/>
  <c r="AF45" i="46"/>
  <c r="BF44" i="46"/>
  <c r="AF44" i="46"/>
  <c r="AG44" i="46"/>
  <c r="BF43" i="46"/>
  <c r="AF43" i="46"/>
  <c r="AG43" i="46"/>
  <c r="AN37" i="46"/>
  <c r="AO37" i="46"/>
  <c r="AO7" i="46"/>
  <c r="AN7" i="46"/>
  <c r="BD24" i="46"/>
  <c r="BD47" i="46"/>
  <c r="BD70" i="46"/>
  <c r="BD87" i="46"/>
  <c r="Y87" i="46"/>
  <c r="X87" i="46"/>
  <c r="AN58" i="46"/>
  <c r="AO58" i="46"/>
  <c r="AO39" i="46"/>
  <c r="AN39" i="46"/>
  <c r="AG27" i="46"/>
  <c r="BF27" i="46"/>
  <c r="AF27" i="46"/>
  <c r="BF20" i="46"/>
  <c r="AF20" i="46"/>
  <c r="AG20" i="46"/>
  <c r="BD22" i="46"/>
  <c r="BD44" i="46"/>
  <c r="BD68" i="46"/>
  <c r="BD91" i="46"/>
  <c r="BD92" i="46"/>
  <c r="BD69" i="46"/>
  <c r="BD9" i="46"/>
  <c r="BF35" i="46"/>
  <c r="BF80" i="46"/>
  <c r="BD50" i="46"/>
  <c r="BD32" i="46"/>
  <c r="Y32" i="46"/>
  <c r="X32" i="46"/>
  <c r="AO32" i="46"/>
  <c r="AN32" i="46"/>
  <c r="BF38" i="46"/>
  <c r="BF60" i="46"/>
  <c r="AF93" i="46"/>
  <c r="AG93" i="46"/>
  <c r="BF93" i="46"/>
  <c r="U17" i="19"/>
  <c r="AJ12" i="18"/>
  <c r="AY12" i="18"/>
  <c r="AJ13" i="18"/>
  <c r="Z12" i="18"/>
  <c r="Y12" i="18"/>
  <c r="AC66" i="19"/>
  <c r="AC5" i="19"/>
  <c r="AK7" i="18"/>
  <c r="AG7" i="18"/>
  <c r="AH7" i="18"/>
  <c r="AC65" i="19"/>
  <c r="U41" i="46"/>
  <c r="BI22" i="45"/>
  <c r="AS22" i="45"/>
  <c r="AA22" i="45"/>
  <c r="Z22" i="45"/>
  <c r="AK65" i="46"/>
  <c r="AU7" i="45"/>
  <c r="AU8" i="45"/>
  <c r="AK6" i="46"/>
  <c r="AQ8" i="45"/>
  <c r="AP8" i="45"/>
  <c r="AT22" i="45"/>
  <c r="AT23" i="45"/>
  <c r="BK23" i="45"/>
  <c r="AC42" i="46"/>
  <c r="BI38" i="45"/>
  <c r="AS37" i="45"/>
  <c r="AS38" i="45"/>
  <c r="U78" i="46"/>
  <c r="AA38" i="45"/>
  <c r="Z38" i="45"/>
  <c r="AX122" i="27"/>
  <c r="AX98" i="27"/>
  <c r="X19" i="27"/>
  <c r="R19" i="27"/>
  <c r="S19" i="27"/>
  <c r="AV35" i="27"/>
  <c r="Z35" i="27"/>
  <c r="AX49" i="27"/>
  <c r="AG49" i="27"/>
  <c r="AF49" i="27"/>
  <c r="AX64" i="27"/>
  <c r="AF64" i="27"/>
  <c r="AG64" i="27"/>
  <c r="AV64" i="27"/>
  <c r="AV72" i="27"/>
  <c r="AV87" i="27"/>
  <c r="AA87" i="27"/>
  <c r="Z87" i="27"/>
  <c r="AX95" i="27"/>
  <c r="AV120" i="27"/>
  <c r="AX123" i="27"/>
  <c r="X9" i="27"/>
  <c r="R9" i="27"/>
  <c r="S9" i="27"/>
  <c r="AX50" i="27"/>
  <c r="AG50" i="27"/>
  <c r="AF50" i="27"/>
  <c r="AX96" i="27"/>
  <c r="AX51" i="27"/>
  <c r="AF51" i="27"/>
  <c r="AG51" i="27"/>
  <c r="AV76" i="27"/>
  <c r="AX101" i="27"/>
  <c r="AG19" i="46"/>
  <c r="BF19" i="46"/>
  <c r="AF19" i="46"/>
  <c r="BD10" i="46"/>
  <c r="BD73" i="46"/>
  <c r="BD48" i="46"/>
  <c r="BD85" i="46"/>
  <c r="AN10" i="46"/>
  <c r="AO10" i="46"/>
  <c r="AK41" i="46"/>
  <c r="AU22" i="45"/>
  <c r="AU23" i="45"/>
  <c r="BI28" i="45"/>
  <c r="AS27" i="45"/>
  <c r="AS28" i="45"/>
  <c r="U54" i="46"/>
  <c r="Z28" i="45"/>
  <c r="AA28" i="45"/>
  <c r="AV127" i="27"/>
  <c r="AV48" i="28"/>
  <c r="Z48" i="28"/>
  <c r="V42" i="13"/>
  <c r="AR17" i="12"/>
  <c r="AG17" i="12"/>
  <c r="AG16" i="12"/>
  <c r="X11" i="27"/>
  <c r="R11" i="27"/>
  <c r="S11" i="27"/>
  <c r="AV53" i="27"/>
  <c r="AA53" i="27"/>
  <c r="Z53" i="27"/>
  <c r="AX41" i="27"/>
  <c r="AG41" i="27"/>
  <c r="AF41" i="27"/>
  <c r="AX73" i="27"/>
  <c r="AF73" i="27"/>
  <c r="AG73" i="27"/>
  <c r="AV68" i="27"/>
  <c r="AV81" i="27"/>
  <c r="AX86" i="27"/>
  <c r="AX105" i="27"/>
  <c r="AV114" i="27"/>
  <c r="AV124" i="27"/>
  <c r="AX113" i="27"/>
  <c r="AX132" i="27"/>
  <c r="X14" i="27"/>
  <c r="S14" i="27"/>
  <c r="R14" i="27"/>
  <c r="AV40" i="27"/>
  <c r="Z40" i="27"/>
  <c r="AA40" i="27"/>
  <c r="AX42" i="27"/>
  <c r="AF42" i="27"/>
  <c r="AG42" i="27"/>
  <c r="AX61" i="27"/>
  <c r="AF61" i="27"/>
  <c r="AG61" i="27"/>
  <c r="AX79" i="27"/>
  <c r="AF79" i="27"/>
  <c r="AG79" i="27"/>
  <c r="AV106" i="27"/>
  <c r="AA106" i="27"/>
  <c r="Z106" i="27"/>
  <c r="AX91" i="27"/>
  <c r="AV131" i="27"/>
  <c r="AX116" i="27"/>
  <c r="AX133" i="27"/>
  <c r="X8" i="27"/>
  <c r="S8" i="27"/>
  <c r="R8" i="27"/>
  <c r="X28" i="27"/>
  <c r="R28" i="27"/>
  <c r="S28" i="27"/>
  <c r="AV44" i="27"/>
  <c r="AX45" i="27"/>
  <c r="AF45" i="27"/>
  <c r="AG45" i="27"/>
  <c r="AX63" i="27"/>
  <c r="AF63" i="27"/>
  <c r="AG63" i="27"/>
  <c r="AX81" i="27"/>
  <c r="AF81" i="27"/>
  <c r="AG81" i="27"/>
  <c r="AV62" i="27"/>
  <c r="AV71" i="27"/>
  <c r="AV98" i="27"/>
  <c r="AA98" i="27"/>
  <c r="AV121" i="27"/>
  <c r="AX112" i="27"/>
  <c r="AX128" i="27"/>
  <c r="W60" i="13"/>
  <c r="Z60" i="13" s="1"/>
  <c r="V56" i="13"/>
  <c r="Y56" i="13" s="1"/>
  <c r="W58" i="13"/>
  <c r="Z58" i="13" s="1"/>
  <c r="V62" i="13"/>
  <c r="Y62" i="13" s="1"/>
  <c r="V55" i="13"/>
  <c r="Y55" i="13" s="1"/>
  <c r="V57" i="13"/>
  <c r="Y57" i="13" s="1"/>
  <c r="V59" i="13"/>
  <c r="Y59" i="13" s="1"/>
  <c r="V61" i="13"/>
  <c r="Y61" i="13" s="1"/>
  <c r="V63" i="13"/>
  <c r="Y63" i="13" s="1"/>
  <c r="V58" i="13"/>
  <c r="Y58" i="13" s="1"/>
  <c r="W62" i="13"/>
  <c r="Z62" i="13" s="1"/>
  <c r="W57" i="13"/>
  <c r="Z57" i="13" s="1"/>
  <c r="W61" i="13"/>
  <c r="Z61" i="13" s="1"/>
  <c r="W56" i="13"/>
  <c r="Z56" i="13" s="1"/>
  <c r="V60" i="13"/>
  <c r="Y60" i="13" s="1"/>
  <c r="W55" i="13"/>
  <c r="Z55" i="13" s="1"/>
  <c r="W59" i="13"/>
  <c r="Z59" i="13" s="1"/>
  <c r="W63" i="13"/>
  <c r="Z63" i="13" s="1"/>
  <c r="AF92" i="46"/>
  <c r="AG92" i="46"/>
  <c r="BF92" i="46"/>
  <c r="AO55" i="46"/>
  <c r="AN55" i="46"/>
  <c r="BF21" i="46"/>
  <c r="AG21" i="46"/>
  <c r="AF21" i="46"/>
  <c r="BD19" i="46"/>
  <c r="BD38" i="46"/>
  <c r="X38" i="46"/>
  <c r="Y38" i="46"/>
  <c r="BD62" i="46"/>
  <c r="X62" i="46"/>
  <c r="Y62" i="46"/>
  <c r="BD83" i="46"/>
  <c r="Y83" i="46"/>
  <c r="BF7" i="46"/>
  <c r="AF7" i="46"/>
  <c r="BF69" i="46"/>
  <c r="BF33" i="46"/>
  <c r="BF8" i="46"/>
  <c r="AG8" i="46"/>
  <c r="AF8" i="46"/>
  <c r="BD14" i="46"/>
  <c r="BD36" i="46"/>
  <c r="X36" i="46"/>
  <c r="Y36" i="46"/>
  <c r="Y60" i="46"/>
  <c r="BD60" i="46"/>
  <c r="X60" i="46"/>
  <c r="BD84" i="46"/>
  <c r="Y84" i="46"/>
  <c r="X84" i="46"/>
  <c r="BD7" i="46"/>
  <c r="BD74" i="46"/>
  <c r="BD26" i="46"/>
  <c r="BF68" i="46"/>
  <c r="BF81" i="46"/>
  <c r="AO87" i="46"/>
  <c r="AN87" i="46"/>
  <c r="BD72" i="46"/>
  <c r="BD34" i="46"/>
  <c r="Y34" i="46"/>
  <c r="X34" i="46"/>
  <c r="AO9" i="46"/>
  <c r="AN9" i="46"/>
  <c r="BF13" i="46"/>
  <c r="AF13" i="46"/>
  <c r="AG13" i="46"/>
  <c r="BF62" i="46"/>
  <c r="BF82" i="46"/>
  <c r="AG94" i="46"/>
  <c r="AF94" i="46"/>
  <c r="BF94" i="46"/>
  <c r="AC6" i="19"/>
  <c r="AK8" i="18"/>
  <c r="AH8" i="18"/>
  <c r="AG8" i="18"/>
  <c r="AC53" i="19"/>
  <c r="AK27" i="18"/>
  <c r="AJ7" i="18"/>
  <c r="Z8" i="18"/>
  <c r="Y8" i="18"/>
  <c r="AJ8" i="18"/>
  <c r="U6" i="19"/>
  <c r="AY8" i="18"/>
  <c r="AJ28" i="18"/>
  <c r="AY28" i="18"/>
  <c r="U54" i="19"/>
  <c r="Y28" i="18"/>
  <c r="AJ27" i="18"/>
  <c r="Z28" i="18"/>
  <c r="AC29" i="46"/>
  <c r="AT17" i="45"/>
  <c r="AT18" i="45"/>
  <c r="BK17" i="45"/>
  <c r="U65" i="46"/>
  <c r="BI32" i="45"/>
  <c r="AS32" i="45"/>
  <c r="Z32" i="45"/>
  <c r="AA32" i="45"/>
  <c r="AK90" i="46"/>
  <c r="AU43" i="45"/>
  <c r="AU17" i="45"/>
  <c r="AU18" i="45"/>
  <c r="AK30" i="46"/>
  <c r="AQ18" i="45"/>
  <c r="AP18" i="45"/>
  <c r="AU32" i="45"/>
  <c r="AU33" i="45"/>
  <c r="AT32" i="45"/>
  <c r="AT33" i="45"/>
  <c r="BK33" i="45"/>
  <c r="AC66" i="46"/>
  <c r="AH33" i="45"/>
  <c r="AI33" i="45"/>
  <c r="AC97" i="19"/>
  <c r="AF97" i="19" s="1"/>
  <c r="AC92" i="19"/>
  <c r="AF92" i="19" s="1"/>
  <c r="AC95" i="19"/>
  <c r="AF95" i="19" s="1"/>
  <c r="AC99" i="19"/>
  <c r="AF99" i="19" s="1"/>
  <c r="AD91" i="19"/>
  <c r="AG91" i="19" s="1"/>
  <c r="AD97" i="19"/>
  <c r="AG97" i="19" s="1"/>
  <c r="AD96" i="19"/>
  <c r="AG96" i="19" s="1"/>
  <c r="AC93" i="19"/>
  <c r="AF93" i="19" s="1"/>
  <c r="AD99" i="19"/>
  <c r="AG99" i="19" s="1"/>
  <c r="AC96" i="19"/>
  <c r="AF96" i="19" s="1"/>
  <c r="AC91" i="19"/>
  <c r="AF91" i="19" s="1"/>
  <c r="AC94" i="19"/>
  <c r="AF94" i="19" s="1"/>
  <c r="AC98" i="19"/>
  <c r="AF98" i="19" s="1"/>
  <c r="AD93" i="19"/>
  <c r="AG93" i="19" s="1"/>
  <c r="AD98" i="19"/>
  <c r="AG98" i="19" s="1"/>
  <c r="AD95" i="19"/>
  <c r="AG95" i="19" s="1"/>
  <c r="AD94" i="19"/>
  <c r="AG94" i="19" s="1"/>
  <c r="AD92" i="19"/>
  <c r="AG92" i="19" s="1"/>
  <c r="X26" i="27"/>
  <c r="S26" i="27"/>
  <c r="R26" i="27"/>
  <c r="AV49" i="27"/>
  <c r="Z49" i="27"/>
  <c r="AA49" i="27"/>
  <c r="AX68" i="27"/>
  <c r="AF68" i="27"/>
  <c r="AG68" i="27"/>
  <c r="AV117" i="27"/>
  <c r="AX121" i="27"/>
  <c r="X13" i="27"/>
  <c r="R13" i="27"/>
  <c r="S13" i="27"/>
  <c r="AX70" i="27"/>
  <c r="AF70" i="27"/>
  <c r="AG70" i="27"/>
  <c r="AV107" i="27"/>
  <c r="AA107" i="27"/>
  <c r="Z107" i="27"/>
  <c r="AB45" i="13"/>
  <c r="AE45" i="13" s="1"/>
  <c r="AC47" i="13"/>
  <c r="AF47" i="13" s="1"/>
  <c r="AC50" i="13"/>
  <c r="AF50" i="13" s="1"/>
  <c r="AB47" i="13"/>
  <c r="AE47" i="13" s="1"/>
  <c r="AC49" i="13"/>
  <c r="AF49" i="13" s="1"/>
  <c r="AB43" i="13"/>
  <c r="AE43" i="13" s="1"/>
  <c r="AB44" i="13"/>
  <c r="AE44" i="13" s="1"/>
  <c r="AB46" i="13"/>
  <c r="AE46" i="13" s="1"/>
  <c r="AB48" i="13"/>
  <c r="AE48" i="13" s="1"/>
  <c r="AC43" i="13"/>
  <c r="AF43" i="13" s="1"/>
  <c r="AC51" i="13"/>
  <c r="AF51" i="13" s="1"/>
  <c r="AB51" i="13"/>
  <c r="AE51" i="13" s="1"/>
  <c r="AC46" i="13"/>
  <c r="AF46" i="13" s="1"/>
  <c r="AC45" i="13"/>
  <c r="AF45" i="13" s="1"/>
  <c r="AB50" i="13"/>
  <c r="AE50" i="13" s="1"/>
  <c r="AB49" i="13"/>
  <c r="AE49" i="13" s="1"/>
  <c r="AC48" i="13"/>
  <c r="AF48" i="13" s="1"/>
  <c r="AC44" i="13"/>
  <c r="AF44" i="13" s="1"/>
  <c r="BF87" i="46"/>
  <c r="BF73" i="46"/>
  <c r="AN61" i="46"/>
  <c r="AO61" i="46"/>
  <c r="BF37" i="46"/>
  <c r="BF15" i="46"/>
  <c r="AG15" i="46"/>
  <c r="BD27" i="46"/>
  <c r="BD94" i="46"/>
  <c r="AN63" i="46"/>
  <c r="AO63" i="46"/>
  <c r="BF58" i="46"/>
  <c r="BD71" i="46"/>
  <c r="BD67" i="46"/>
  <c r="AO62" i="46"/>
  <c r="AN62" i="46"/>
  <c r="BD20" i="46"/>
  <c r="BF56" i="46"/>
  <c r="AN59" i="46"/>
  <c r="AO59" i="46"/>
  <c r="AN80" i="46"/>
  <c r="AO80" i="46"/>
  <c r="AG91" i="46"/>
  <c r="BF91" i="46"/>
  <c r="AF91" i="46"/>
  <c r="U29" i="19"/>
  <c r="AY17" i="18"/>
  <c r="AJ17" i="18"/>
  <c r="U42" i="19"/>
  <c r="AJ23" i="18"/>
  <c r="AY23" i="18"/>
  <c r="AJ22" i="18"/>
  <c r="AC77" i="46"/>
  <c r="AT37" i="45"/>
  <c r="AT38" i="45"/>
  <c r="BK37" i="45"/>
  <c r="AU37" i="45"/>
  <c r="AU38" i="45"/>
  <c r="AK78" i="46"/>
  <c r="AT17" i="12"/>
  <c r="AH17" i="12"/>
  <c r="AB42" i="13"/>
  <c r="AV52" i="28"/>
  <c r="Z52" i="28"/>
  <c r="AA52" i="28"/>
  <c r="AV41" i="28"/>
  <c r="X15" i="27"/>
  <c r="R15" i="27"/>
  <c r="S15" i="27"/>
  <c r="AV43" i="27"/>
  <c r="AA43" i="27"/>
  <c r="Z43" i="27"/>
  <c r="AX53" i="27"/>
  <c r="AG53" i="27"/>
  <c r="AF53" i="27"/>
  <c r="AX71" i="27"/>
  <c r="AF71" i="27"/>
  <c r="AG71" i="27"/>
  <c r="AV66" i="27"/>
  <c r="AV75" i="27"/>
  <c r="AV91" i="27"/>
  <c r="Z91" i="27"/>
  <c r="AA91" i="27"/>
  <c r="AX99" i="27"/>
  <c r="AV112" i="27"/>
  <c r="AV122" i="27"/>
  <c r="AX129" i="27"/>
  <c r="X18" i="27"/>
  <c r="R18" i="27"/>
  <c r="S18" i="27"/>
  <c r="AV38" i="27"/>
  <c r="Z38" i="27"/>
  <c r="AA38" i="27"/>
  <c r="AX39" i="27"/>
  <c r="AF39" i="27"/>
  <c r="AG39" i="27"/>
  <c r="AX54" i="27"/>
  <c r="AG54" i="27"/>
  <c r="AF54" i="27"/>
  <c r="AX76" i="27"/>
  <c r="AF76" i="27"/>
  <c r="AG76" i="27"/>
  <c r="AA101" i="27"/>
  <c r="Z101" i="27"/>
  <c r="AV101" i="27"/>
  <c r="AX87" i="27"/>
  <c r="AV125" i="27"/>
  <c r="AX127" i="27"/>
  <c r="X22" i="27"/>
  <c r="R22" i="27"/>
  <c r="S22" i="27"/>
  <c r="AV42" i="27"/>
  <c r="Z42" i="27"/>
  <c r="AA42" i="27"/>
  <c r="AX55" i="27"/>
  <c r="AF55" i="27"/>
  <c r="AG55" i="27"/>
  <c r="AX72" i="27"/>
  <c r="AG72" i="27"/>
  <c r="AF72" i="27"/>
  <c r="AV60" i="27"/>
  <c r="AV69" i="27"/>
  <c r="AV80" i="27"/>
  <c r="AV94" i="27"/>
  <c r="AA94" i="27"/>
  <c r="AX106" i="27"/>
  <c r="AX124" i="27"/>
  <c r="AV63" i="27"/>
  <c r="AF95" i="46"/>
  <c r="BF95" i="46"/>
  <c r="AG95" i="46"/>
  <c r="BF61" i="46"/>
  <c r="BF34" i="46"/>
  <c r="BF24" i="46"/>
  <c r="AF24" i="46"/>
  <c r="AG24" i="46"/>
  <c r="AN12" i="46"/>
  <c r="AO12" i="46"/>
  <c r="BD13" i="46"/>
  <c r="BD35" i="46"/>
  <c r="Y35" i="46"/>
  <c r="X35" i="46"/>
  <c r="X59" i="46"/>
  <c r="Y59" i="46"/>
  <c r="BD59" i="46"/>
  <c r="BD79" i="46"/>
  <c r="Y79" i="46"/>
  <c r="X79" i="46"/>
  <c r="BD98" i="46"/>
  <c r="BF67" i="46"/>
  <c r="BF63" i="46"/>
  <c r="AO60" i="46"/>
  <c r="AN60" i="46"/>
  <c r="BF36" i="46"/>
  <c r="AN33" i="46"/>
  <c r="AO33" i="46"/>
  <c r="BF12" i="46"/>
  <c r="AG12" i="46"/>
  <c r="AF12" i="46"/>
  <c r="AN8" i="46"/>
  <c r="AO8" i="46"/>
  <c r="BD8" i="46"/>
  <c r="BD33" i="46"/>
  <c r="Y33" i="46"/>
  <c r="X33" i="46"/>
  <c r="X57" i="46"/>
  <c r="BD57" i="46"/>
  <c r="Y57" i="46"/>
  <c r="BD80" i="46"/>
  <c r="X80" i="46"/>
  <c r="Y80" i="46"/>
  <c r="BD99" i="46"/>
  <c r="BD81" i="46"/>
  <c r="X81" i="46"/>
  <c r="Y81" i="46"/>
  <c r="Y55" i="46"/>
  <c r="BD55" i="46"/>
  <c r="X55" i="46"/>
  <c r="AO85" i="46"/>
  <c r="AN85" i="46"/>
  <c r="X39" i="46"/>
  <c r="Y39" i="46"/>
  <c r="BD39" i="46"/>
  <c r="BD12" i="46"/>
  <c r="AO31" i="46"/>
  <c r="AN31" i="46"/>
  <c r="AN38" i="46"/>
  <c r="AO38" i="46"/>
  <c r="AN79" i="46"/>
  <c r="AO79" i="46"/>
  <c r="BF83" i="46"/>
  <c r="W12" i="13"/>
  <c r="Z12" i="13" s="1"/>
  <c r="V8" i="13"/>
  <c r="Y8" i="13" s="1"/>
  <c r="W10" i="13"/>
  <c r="Z10" i="13" s="1"/>
  <c r="V14" i="13"/>
  <c r="Y14" i="13" s="1"/>
  <c r="V7" i="13"/>
  <c r="Y7" i="13" s="1"/>
  <c r="V9" i="13"/>
  <c r="Y9" i="13" s="1"/>
  <c r="V11" i="13"/>
  <c r="Y11" i="13" s="1"/>
  <c r="V13" i="13"/>
  <c r="Y13" i="13" s="1"/>
  <c r="V15" i="13"/>
  <c r="Y15" i="13" s="1"/>
  <c r="V10" i="13"/>
  <c r="Y10" i="13" s="1"/>
  <c r="W14" i="13"/>
  <c r="Z14" i="13" s="1"/>
  <c r="W9" i="13"/>
  <c r="Z9" i="13" s="1"/>
  <c r="W13" i="13"/>
  <c r="Z13" i="13" s="1"/>
  <c r="W8" i="13"/>
  <c r="Z8" i="13" s="1"/>
  <c r="V12" i="13"/>
  <c r="Y12" i="13" s="1"/>
  <c r="W7" i="13"/>
  <c r="Z7" i="13" s="1"/>
  <c r="W11" i="13"/>
  <c r="Z11" i="13" s="1"/>
  <c r="W15" i="13"/>
  <c r="Z15" i="13" s="1"/>
  <c r="AC42" i="19"/>
  <c r="AK23" i="18"/>
  <c r="AK38" i="18"/>
  <c r="AC78" i="19"/>
  <c r="AC41" i="19"/>
  <c r="AK22" i="18"/>
  <c r="AK17" i="46"/>
  <c r="AU12" i="45"/>
  <c r="AU13" i="45"/>
  <c r="AQ12" i="45"/>
  <c r="AP12" i="45"/>
  <c r="AC53" i="46"/>
  <c r="AT27" i="45"/>
  <c r="AT28" i="45"/>
  <c r="BK27" i="45"/>
  <c r="AH27" i="45"/>
  <c r="AI27" i="45"/>
  <c r="U89" i="46"/>
  <c r="BI42" i="45"/>
  <c r="AS42" i="45"/>
  <c r="AA42" i="45"/>
  <c r="Z42" i="45"/>
  <c r="BI18" i="45"/>
  <c r="AS17" i="45"/>
  <c r="AS18" i="45"/>
  <c r="U30" i="46"/>
  <c r="AA18" i="45"/>
  <c r="Z18" i="45"/>
  <c r="AU27" i="45"/>
  <c r="AU28" i="45"/>
  <c r="AK54" i="46"/>
  <c r="AK89" i="46"/>
  <c r="AU42" i="45"/>
  <c r="U9" i="46"/>
  <c r="X9" i="46" s="1"/>
  <c r="V14" i="46"/>
  <c r="Y14" i="46" s="1"/>
  <c r="V15" i="46"/>
  <c r="Y15" i="46" s="1"/>
  <c r="U12" i="46"/>
  <c r="X12" i="46" s="1"/>
  <c r="U15" i="46"/>
  <c r="X15" i="46" s="1"/>
  <c r="U11" i="46"/>
  <c r="X11" i="46" s="1"/>
  <c r="U7" i="46"/>
  <c r="X7" i="46" s="1"/>
  <c r="V12" i="46"/>
  <c r="Y12" i="46" s="1"/>
  <c r="V13" i="46"/>
  <c r="Y13" i="46" s="1"/>
  <c r="V10" i="46"/>
  <c r="Y10" i="46" s="1"/>
  <c r="U14" i="46"/>
  <c r="X14" i="46" s="1"/>
  <c r="U13" i="46"/>
  <c r="X13" i="46" s="1"/>
  <c r="V11" i="46"/>
  <c r="Y11" i="46" s="1"/>
  <c r="V9" i="46"/>
  <c r="Y9" i="46" s="1"/>
  <c r="V7" i="46"/>
  <c r="Y7" i="46" s="1"/>
  <c r="U8" i="46"/>
  <c r="X8" i="46" s="1"/>
  <c r="U10" i="46"/>
  <c r="X10" i="46" s="1"/>
  <c r="V8" i="46"/>
  <c r="Y8" i="46" s="1"/>
  <c r="AB67" i="13"/>
  <c r="AE67" i="13" s="1"/>
  <c r="AB74" i="13"/>
  <c r="AE74" i="13" s="1"/>
  <c r="AC69" i="13"/>
  <c r="AF69" i="13" s="1"/>
  <c r="AB71" i="13"/>
  <c r="AE71" i="13" s="1"/>
  <c r="AC67" i="13"/>
  <c r="AF67" i="13" s="1"/>
  <c r="AB70" i="13"/>
  <c r="AE70" i="13" s="1"/>
  <c r="AC73" i="13"/>
  <c r="AF73" i="13" s="1"/>
  <c r="AB68" i="13"/>
  <c r="AB72" i="13"/>
  <c r="AE72" i="13" s="1"/>
  <c r="AC75" i="13"/>
  <c r="AF75" i="13" s="1"/>
  <c r="AC70" i="13"/>
  <c r="AF70" i="13" s="1"/>
  <c r="AC71" i="13"/>
  <c r="AF71" i="13" s="1"/>
  <c r="AC74" i="13"/>
  <c r="AF74" i="13" s="1"/>
  <c r="AB73" i="13"/>
  <c r="AE73" i="13" s="1"/>
  <c r="AC72" i="13"/>
  <c r="AF72" i="13" s="1"/>
  <c r="AB75" i="13"/>
  <c r="AE75" i="13" s="1"/>
  <c r="AC68" i="13"/>
  <c r="AF68" i="13" s="1"/>
  <c r="AB69" i="13"/>
  <c r="AE69" i="13" s="1"/>
  <c r="AS33" i="45"/>
  <c r="AI52" i="24"/>
  <c r="V26" i="24"/>
  <c r="AI26" i="24"/>
  <c r="W26" i="24"/>
  <c r="AI34" i="24"/>
  <c r="V34" i="24"/>
  <c r="W34" i="24"/>
  <c r="AI64" i="24"/>
  <c r="AI44" i="24"/>
  <c r="W57" i="24"/>
  <c r="V57" i="24"/>
  <c r="AI57" i="24"/>
  <c r="V33" i="24"/>
  <c r="W33" i="24"/>
  <c r="AI33" i="24"/>
  <c r="V39" i="24"/>
  <c r="AI39" i="24"/>
  <c r="P14" i="24"/>
  <c r="Y14" i="24"/>
  <c r="AI51" i="24"/>
  <c r="Y8" i="24"/>
  <c r="P8" i="24"/>
  <c r="AI46" i="24"/>
  <c r="AI32" i="24"/>
  <c r="W32" i="24"/>
  <c r="V32" i="24"/>
  <c r="W28" i="24"/>
  <c r="V28" i="24"/>
  <c r="AI28" i="24"/>
  <c r="AI63" i="24"/>
  <c r="AI50" i="24"/>
  <c r="V40" i="24"/>
  <c r="AI40" i="24"/>
  <c r="AI58" i="24"/>
  <c r="V58" i="24"/>
  <c r="W58" i="24"/>
  <c r="Y11" i="24"/>
  <c r="P11" i="24"/>
  <c r="AI62" i="24"/>
  <c r="Y13" i="24"/>
  <c r="P13" i="24"/>
  <c r="Y7" i="24"/>
  <c r="P7" i="24"/>
  <c r="AI20" i="24"/>
  <c r="AI27" i="24"/>
  <c r="V27" i="24"/>
  <c r="W27" i="24"/>
  <c r="AI21" i="24"/>
  <c r="AI45" i="24"/>
  <c r="P10" i="24"/>
  <c r="Y10" i="24"/>
  <c r="V56" i="24"/>
  <c r="W56" i="24"/>
  <c r="AI56" i="24"/>
  <c r="U51" i="22" l="1"/>
  <c r="W51" i="22" s="1"/>
  <c r="U40" i="22"/>
  <c r="W40" i="22" s="1"/>
  <c r="U54" i="22"/>
  <c r="W54" i="22" s="1"/>
  <c r="U37" i="22"/>
  <c r="W37" i="22" s="1"/>
  <c r="U34" i="22"/>
  <c r="W34" i="22" s="1"/>
  <c r="U47" i="22"/>
  <c r="W47" i="22" s="1"/>
  <c r="U49" i="22"/>
  <c r="W49" i="22" s="1"/>
  <c r="U42" i="22"/>
  <c r="W42" i="22" s="1"/>
  <c r="U50" i="22"/>
  <c r="W50" i="22" s="1"/>
  <c r="U39" i="22"/>
  <c r="W39" i="22" s="1"/>
  <c r="U45" i="22"/>
  <c r="W45" i="22" s="1"/>
  <c r="U53" i="22"/>
  <c r="W53" i="22" s="1"/>
  <c r="U44" i="22"/>
  <c r="W44" i="22" s="1"/>
  <c r="U41" i="22"/>
  <c r="W41" i="22" s="1"/>
  <c r="U55" i="22"/>
  <c r="W55" i="22" s="1"/>
  <c r="U46" i="22"/>
  <c r="W46" i="22" s="1"/>
  <c r="U43" i="22"/>
  <c r="W43" i="22" s="1"/>
  <c r="U36" i="22"/>
  <c r="W36" i="22" s="1"/>
  <c r="U38" i="22"/>
  <c r="W38" i="22" s="1"/>
  <c r="U35" i="22"/>
  <c r="W35" i="22" s="1"/>
  <c r="AE68" i="13"/>
  <c r="AD21" i="19"/>
  <c r="AG21" i="19" s="1"/>
  <c r="AD25" i="19"/>
  <c r="AG25" i="19" s="1"/>
  <c r="AC20" i="19"/>
  <c r="AF20" i="19" s="1"/>
  <c r="AC24" i="19"/>
  <c r="AF24" i="19" s="1"/>
  <c r="AD22" i="19"/>
  <c r="AG22" i="19" s="1"/>
  <c r="AD26" i="19"/>
  <c r="AG26" i="19" s="1"/>
  <c r="AC21" i="19"/>
  <c r="AF21" i="19" s="1"/>
  <c r="AC25" i="19"/>
  <c r="AF25" i="19" s="1"/>
  <c r="AD19" i="19"/>
  <c r="AG19" i="19" s="1"/>
  <c r="AD27" i="19"/>
  <c r="AG27" i="19" s="1"/>
  <c r="AC26" i="19"/>
  <c r="AF26" i="19" s="1"/>
  <c r="AC22" i="19"/>
  <c r="AF22" i="19" s="1"/>
  <c r="AD20" i="19"/>
  <c r="AG20" i="19" s="1"/>
  <c r="AC19" i="19"/>
  <c r="AF19" i="19" s="1"/>
  <c r="AC27" i="19"/>
  <c r="AF27" i="19" s="1"/>
  <c r="AD24" i="19"/>
  <c r="AG24" i="19" s="1"/>
  <c r="AC23" i="19"/>
  <c r="AF23" i="19" s="1"/>
  <c r="AD23" i="19"/>
  <c r="AG23" i="19" s="1"/>
  <c r="AB84" i="23"/>
  <c r="U48" i="24"/>
  <c r="AE50" i="28"/>
  <c r="AD44" i="28"/>
  <c r="AN30" i="45"/>
  <c r="AM25" i="45"/>
  <c r="AD15" i="16"/>
  <c r="AD84" i="27"/>
  <c r="AD84" i="17"/>
  <c r="T48" i="24"/>
  <c r="AN25" i="45"/>
  <c r="AD30" i="18"/>
  <c r="AE84" i="27"/>
  <c r="AE44" i="28"/>
  <c r="AE25" i="18"/>
  <c r="AD25" i="18"/>
  <c r="AA84" i="23"/>
  <c r="Y48" i="10"/>
  <c r="AE30" i="18"/>
  <c r="R15" i="16"/>
  <c r="AA30" i="25"/>
  <c r="AE84" i="17"/>
  <c r="AB30" i="25"/>
  <c r="AD50" i="28"/>
  <c r="Q15" i="16"/>
  <c r="X48" i="10"/>
  <c r="AM30" i="45"/>
  <c r="T46" i="22"/>
  <c r="V46" i="22" s="1"/>
  <c r="T35" i="22"/>
  <c r="V35" i="22" s="1"/>
  <c r="T41" i="22"/>
  <c r="V41" i="22" s="1"/>
  <c r="T53" i="22"/>
  <c r="V53" i="22" s="1"/>
  <c r="T44" i="22"/>
  <c r="V44" i="22" s="1"/>
  <c r="T54" i="22"/>
  <c r="V54" i="22" s="1"/>
  <c r="T43" i="22"/>
  <c r="V43" i="22" s="1"/>
  <c r="T36" i="22"/>
  <c r="V36" i="22" s="1"/>
  <c r="T40" i="22"/>
  <c r="V40" i="22" s="1"/>
  <c r="T37" i="22"/>
  <c r="V37" i="22" s="1"/>
  <c r="T42" i="22"/>
  <c r="V42" i="22" s="1"/>
  <c r="T39" i="22"/>
  <c r="V39" i="22" s="1"/>
  <c r="T49" i="22"/>
  <c r="V49" i="22" s="1"/>
  <c r="T34" i="22"/>
  <c r="V34" i="22" s="1"/>
  <c r="T50" i="22"/>
  <c r="V50" i="22" s="1"/>
  <c r="T51" i="22"/>
  <c r="V51" i="22" s="1"/>
  <c r="T47" i="22"/>
  <c r="V47" i="22" s="1"/>
  <c r="T55" i="22"/>
  <c r="V55" i="22" s="1"/>
  <c r="T45" i="22"/>
  <c r="V45" i="22" s="1"/>
  <c r="T38" i="22"/>
  <c r="V38" i="22" s="1"/>
  <c r="Q9" i="16"/>
  <c r="Y58" i="27"/>
  <c r="Y58" i="17"/>
  <c r="Y31" i="28"/>
  <c r="AB15" i="25"/>
  <c r="V20" i="18"/>
  <c r="AE20" i="45"/>
  <c r="AG9" i="16"/>
  <c r="V58" i="23"/>
  <c r="X37" i="28"/>
  <c r="V15" i="18"/>
  <c r="AF15" i="45"/>
  <c r="X58" i="17"/>
  <c r="X31" i="28"/>
  <c r="W15" i="18"/>
  <c r="R9" i="16"/>
  <c r="X30" i="10"/>
  <c r="Y37" i="28"/>
  <c r="AF20" i="45"/>
  <c r="U58" i="23"/>
  <c r="AD9" i="16"/>
  <c r="AA15" i="25"/>
  <c r="Y30" i="10"/>
  <c r="AE15" i="45"/>
  <c r="X58" i="27"/>
  <c r="W20" i="18"/>
  <c r="AG10" i="16"/>
  <c r="AD67" i="46"/>
  <c r="AG67" i="46" s="1"/>
  <c r="AD68" i="46"/>
  <c r="AG68" i="46" s="1"/>
  <c r="AC73" i="46"/>
  <c r="AF73" i="46" s="1"/>
  <c r="AC74" i="46"/>
  <c r="AF74" i="46" s="1"/>
  <c r="AD75" i="46"/>
  <c r="AG75" i="46" s="1"/>
  <c r="AC70" i="46"/>
  <c r="AF70" i="46" s="1"/>
  <c r="AC69" i="46"/>
  <c r="AF69" i="46" s="1"/>
  <c r="AD72" i="46"/>
  <c r="AG72" i="46" s="1"/>
  <c r="AC71" i="46"/>
  <c r="AF71" i="46" s="1"/>
  <c r="AD74" i="46"/>
  <c r="AG74" i="46" s="1"/>
  <c r="AC67" i="46"/>
  <c r="AF67" i="46" s="1"/>
  <c r="AD71" i="46"/>
  <c r="AG71" i="46" s="1"/>
  <c r="AD69" i="46"/>
  <c r="AG69" i="46" s="1"/>
  <c r="AD73" i="46"/>
  <c r="AG73" i="46" s="1"/>
  <c r="AD70" i="46"/>
  <c r="AG70" i="46" s="1"/>
  <c r="AC68" i="46"/>
  <c r="AF68" i="46" s="1"/>
  <c r="AC75" i="46"/>
  <c r="AF75" i="46" s="1"/>
  <c r="AC72" i="46"/>
  <c r="AF72" i="46" s="1"/>
  <c r="AB8" i="12"/>
  <c r="AE8" i="12" s="1"/>
  <c r="AC9" i="12"/>
  <c r="AF9" i="12" s="1"/>
  <c r="AC10" i="12"/>
  <c r="AF10" i="12" s="1"/>
  <c r="AC8" i="12"/>
  <c r="AF8" i="12" s="1"/>
  <c r="AC7" i="12"/>
  <c r="AF7" i="12" s="1"/>
  <c r="AB9" i="12"/>
  <c r="AE9" i="12" s="1"/>
  <c r="AB10" i="12"/>
  <c r="AE10" i="12" s="1"/>
  <c r="AB7" i="12"/>
  <c r="AE7" i="12" s="1"/>
  <c r="R8" i="16"/>
  <c r="Q8" i="16"/>
  <c r="AD8" i="16"/>
  <c r="AG7" i="16"/>
  <c r="AG8" i="16"/>
  <c r="R18" i="16"/>
  <c r="AD18" i="16"/>
  <c r="Q18" i="16"/>
  <c r="W70" i="22"/>
  <c r="AE26" i="13"/>
  <c r="T20" i="24"/>
  <c r="V20" i="24" s="1"/>
  <c r="T22" i="24"/>
  <c r="V22" i="24" s="1"/>
  <c r="T21" i="24"/>
  <c r="V21" i="24" s="1"/>
  <c r="U79" i="19"/>
  <c r="X79" i="19" s="1"/>
  <c r="V83" i="19"/>
  <c r="Y83" i="19" s="1"/>
  <c r="V87" i="19"/>
  <c r="Y87" i="19" s="1"/>
  <c r="V82" i="19"/>
  <c r="Y82" i="19" s="1"/>
  <c r="V86" i="19"/>
  <c r="Y86" i="19" s="1"/>
  <c r="U81" i="19"/>
  <c r="V79" i="19"/>
  <c r="Y79" i="19" s="1"/>
  <c r="U83" i="19"/>
  <c r="X83" i="19" s="1"/>
  <c r="U85" i="19"/>
  <c r="X85" i="19" s="1"/>
  <c r="V80" i="19"/>
  <c r="Y80" i="19" s="1"/>
  <c r="U82" i="19"/>
  <c r="X82" i="19" s="1"/>
  <c r="V84" i="19"/>
  <c r="Y84" i="19" s="1"/>
  <c r="U84" i="19"/>
  <c r="X84" i="19" s="1"/>
  <c r="U86" i="19"/>
  <c r="X86" i="19" s="1"/>
  <c r="V85" i="19"/>
  <c r="Y85" i="19" s="1"/>
  <c r="U80" i="19"/>
  <c r="X80" i="19" s="1"/>
  <c r="U87" i="19"/>
  <c r="X87" i="19" s="1"/>
  <c r="V81" i="19"/>
  <c r="AD110" i="27"/>
  <c r="AD110" i="17"/>
  <c r="AD63" i="28"/>
  <c r="AE57" i="28"/>
  <c r="AD40" i="18"/>
  <c r="AE40" i="18"/>
  <c r="R19" i="16"/>
  <c r="AG19" i="16"/>
  <c r="AE110" i="27"/>
  <c r="AA110" i="23"/>
  <c r="Y60" i="10"/>
  <c r="AE63" i="28"/>
  <c r="AN35" i="45"/>
  <c r="AM40" i="45"/>
  <c r="AD19" i="16"/>
  <c r="X60" i="10"/>
  <c r="U60" i="24"/>
  <c r="AN40" i="45"/>
  <c r="AB110" i="23"/>
  <c r="AA40" i="25"/>
  <c r="AM35" i="45"/>
  <c r="AD35" i="18"/>
  <c r="T60" i="24"/>
  <c r="AB40" i="25"/>
  <c r="Q19" i="16"/>
  <c r="AE110" i="17"/>
  <c r="AE35" i="18"/>
  <c r="AD57" i="28"/>
  <c r="AG18" i="16"/>
  <c r="Q17" i="16"/>
  <c r="X110" i="27"/>
  <c r="X54" i="10"/>
  <c r="X63" i="28"/>
  <c r="W35" i="18"/>
  <c r="W40" i="18"/>
  <c r="AF35" i="45"/>
  <c r="AD17" i="16"/>
  <c r="V110" i="23"/>
  <c r="Y54" i="10"/>
  <c r="AE40" i="45"/>
  <c r="V35" i="18"/>
  <c r="R17" i="16"/>
  <c r="X110" i="17"/>
  <c r="X57" i="28"/>
  <c r="AA35" i="25"/>
  <c r="AB35" i="25"/>
  <c r="Y110" i="27"/>
  <c r="Y63" i="28"/>
  <c r="U110" i="23"/>
  <c r="V40" i="18"/>
  <c r="Y110" i="17"/>
  <c r="Y57" i="28"/>
  <c r="AG17" i="16"/>
  <c r="AF40" i="45"/>
  <c r="AE35" i="45"/>
  <c r="AU10" i="9"/>
  <c r="AB14" i="12"/>
  <c r="AE14" i="12" s="1"/>
  <c r="AB16" i="12"/>
  <c r="AE16" i="12" s="1"/>
  <c r="AB17" i="12"/>
  <c r="AE17" i="12" s="1"/>
  <c r="AB15" i="12"/>
  <c r="AE15" i="12" s="1"/>
  <c r="AC16" i="12"/>
  <c r="AF16" i="12" s="1"/>
  <c r="AC15" i="12"/>
  <c r="AF15" i="12" s="1"/>
  <c r="AC17" i="12"/>
  <c r="AF17" i="12" s="1"/>
  <c r="AC14" i="12"/>
  <c r="AF14" i="12" s="1"/>
  <c r="U21" i="24"/>
  <c r="W21" i="24" s="1"/>
  <c r="U20" i="24"/>
  <c r="W20" i="24" s="1"/>
  <c r="U22" i="24"/>
  <c r="W22" i="24" s="1"/>
  <c r="Q20" i="16"/>
  <c r="AD20" i="16"/>
  <c r="AG20" i="16"/>
  <c r="R20" i="16"/>
  <c r="AI99" i="22"/>
  <c r="X10" i="22"/>
  <c r="R10" i="22"/>
  <c r="AF92" i="13"/>
  <c r="AR92" i="13"/>
  <c r="AR84" i="13"/>
  <c r="AE84" i="13"/>
  <c r="AU73" i="19"/>
  <c r="Y73" i="19"/>
  <c r="X73" i="19"/>
  <c r="AU81" i="19"/>
  <c r="Y81" i="19"/>
  <c r="X81" i="19"/>
  <c r="AF84" i="13"/>
  <c r="AB70" i="23"/>
  <c r="AD70" i="23" s="1"/>
  <c r="AB81" i="23"/>
  <c r="AD81" i="23" s="1"/>
  <c r="AB61" i="23"/>
  <c r="AD61" i="23" s="1"/>
  <c r="AB68" i="23"/>
  <c r="AD68" i="23" s="1"/>
  <c r="AB60" i="23"/>
  <c r="AD60" i="23" s="1"/>
  <c r="AB80" i="23"/>
  <c r="AD80" i="23" s="1"/>
  <c r="AB77" i="23"/>
  <c r="AD77" i="23" s="1"/>
  <c r="AB73" i="23"/>
  <c r="AD73" i="23" s="1"/>
  <c r="AB64" i="23"/>
  <c r="AD64" i="23" s="1"/>
  <c r="AB75" i="23"/>
  <c r="AD75" i="23" s="1"/>
  <c r="AB67" i="23"/>
  <c r="AD67" i="23" s="1"/>
  <c r="AB63" i="23"/>
  <c r="AD63" i="23" s="1"/>
  <c r="AB65" i="23"/>
  <c r="AD65" i="23" s="1"/>
  <c r="AB66" i="23"/>
  <c r="AD66" i="23" s="1"/>
  <c r="AB69" i="23"/>
  <c r="AD69" i="23" s="1"/>
  <c r="AB76" i="23"/>
  <c r="AD76" i="23" s="1"/>
  <c r="AB79" i="23"/>
  <c r="AD79" i="23" s="1"/>
  <c r="AB71" i="23"/>
  <c r="AD71" i="23" s="1"/>
  <c r="AB62" i="23"/>
  <c r="AD62" i="23" s="1"/>
  <c r="AB72" i="23"/>
  <c r="AD72" i="23" s="1"/>
  <c r="AE22" i="18"/>
  <c r="AH22" i="18" s="1"/>
  <c r="AD23" i="18"/>
  <c r="AG23" i="18" s="1"/>
  <c r="AD22" i="18"/>
  <c r="AG22" i="18" s="1"/>
  <c r="AE23" i="18"/>
  <c r="AH23" i="18" s="1"/>
  <c r="AE34" i="28"/>
  <c r="AG34" i="28" s="1"/>
  <c r="AE35" i="28"/>
  <c r="AG35" i="28" s="1"/>
  <c r="AE33" i="28"/>
  <c r="AG33" i="28" s="1"/>
  <c r="AE41" i="28"/>
  <c r="AG41" i="28" s="1"/>
  <c r="AE40" i="28"/>
  <c r="AG40" i="28" s="1"/>
  <c r="AE39" i="28"/>
  <c r="AG39" i="28" s="1"/>
  <c r="R15" i="22"/>
  <c r="AE92" i="13"/>
  <c r="V70" i="22"/>
  <c r="AI91" i="22"/>
  <c r="U84" i="22"/>
  <c r="T84" i="22"/>
  <c r="T42" i="24"/>
  <c r="AE13" i="10"/>
  <c r="U42" i="24"/>
  <c r="AD13" i="10"/>
  <c r="AC19" i="12"/>
  <c r="AC26" i="12"/>
  <c r="U7" i="9"/>
  <c r="V7" i="9"/>
  <c r="AB19" i="12"/>
  <c r="AB26" i="12"/>
  <c r="AR7" i="9"/>
  <c r="AM7" i="9"/>
  <c r="AR8" i="9"/>
  <c r="AI96" i="22"/>
  <c r="AC36" i="38"/>
  <c r="AR36" i="38"/>
  <c r="AD36" i="38"/>
  <c r="AV53" i="28"/>
  <c r="Z53" i="28"/>
  <c r="AV35" i="28"/>
  <c r="AP21" i="10"/>
  <c r="AA21" i="10"/>
  <c r="Z21" i="10"/>
  <c r="V65" i="13"/>
  <c r="AR23" i="12"/>
  <c r="AG23" i="12"/>
  <c r="AR81" i="13"/>
  <c r="AF81" i="13"/>
  <c r="AE81" i="13"/>
  <c r="V66" i="13"/>
  <c r="AG24" i="12"/>
  <c r="AR24" i="12"/>
  <c r="AR55" i="13"/>
  <c r="AE55" i="13"/>
  <c r="AR11" i="13"/>
  <c r="AE11" i="13"/>
  <c r="AP32" i="13"/>
  <c r="Z32" i="13"/>
  <c r="Y32" i="13"/>
  <c r="AF11" i="13"/>
  <c r="U40" i="24"/>
  <c r="W40" i="24" s="1"/>
  <c r="U38" i="24"/>
  <c r="W38" i="24" s="1"/>
  <c r="U39" i="24"/>
  <c r="W39" i="24" s="1"/>
  <c r="W88" i="23"/>
  <c r="AD17" i="18"/>
  <c r="AG17" i="18" s="1"/>
  <c r="AE17" i="18"/>
  <c r="AH17" i="18" s="1"/>
  <c r="AD18" i="18"/>
  <c r="AG18" i="18" s="1"/>
  <c r="AE18" i="18"/>
  <c r="AH18" i="18" s="1"/>
  <c r="R14" i="16"/>
  <c r="AD14" i="16"/>
  <c r="AG13" i="16"/>
  <c r="AG14" i="16"/>
  <c r="AX94" i="27"/>
  <c r="X18" i="22"/>
  <c r="S18" i="22"/>
  <c r="X20" i="27"/>
  <c r="R20" i="27"/>
  <c r="S20" i="27"/>
  <c r="AV40" i="28"/>
  <c r="AA27" i="28"/>
  <c r="Z27" i="28"/>
  <c r="AV27" i="28"/>
  <c r="AD35" i="38"/>
  <c r="AC35" i="38"/>
  <c r="AR35" i="38"/>
  <c r="AB66" i="13"/>
  <c r="AT24" i="12"/>
  <c r="AH23" i="12"/>
  <c r="AH24" i="12"/>
  <c r="AR15" i="13"/>
  <c r="AE15" i="13"/>
  <c r="AU69" i="19"/>
  <c r="Y69" i="19"/>
  <c r="X69" i="19"/>
  <c r="AF15" i="13"/>
  <c r="Q7" i="24"/>
  <c r="S7" i="24" s="1"/>
  <c r="R7" i="24"/>
  <c r="T7" i="24" s="1"/>
  <c r="Q8" i="24"/>
  <c r="S8" i="24" s="1"/>
  <c r="Q10" i="24"/>
  <c r="S10" i="24" s="1"/>
  <c r="R10" i="24"/>
  <c r="T10" i="24" s="1"/>
  <c r="R14" i="24"/>
  <c r="T14" i="24" s="1"/>
  <c r="R13" i="24"/>
  <c r="T13" i="24" s="1"/>
  <c r="Q14" i="24"/>
  <c r="S14" i="24" s="1"/>
  <c r="Q13" i="24"/>
  <c r="S13" i="24" s="1"/>
  <c r="R8" i="24"/>
  <c r="T8" i="24" s="1"/>
  <c r="Q11" i="24"/>
  <c r="S11" i="24" s="1"/>
  <c r="R11" i="24"/>
  <c r="T11" i="24" s="1"/>
  <c r="S15" i="22"/>
  <c r="AA64" i="23"/>
  <c r="AC64" i="23" s="1"/>
  <c r="AA68" i="23"/>
  <c r="AC68" i="23" s="1"/>
  <c r="AA72" i="23"/>
  <c r="AC72" i="23" s="1"/>
  <c r="AA67" i="23"/>
  <c r="AC67" i="23" s="1"/>
  <c r="AA73" i="23"/>
  <c r="AC73" i="23" s="1"/>
  <c r="AA81" i="23"/>
  <c r="AC81" i="23" s="1"/>
  <c r="AA60" i="23"/>
  <c r="AC60" i="23" s="1"/>
  <c r="AA75" i="23"/>
  <c r="AC75" i="23" s="1"/>
  <c r="AA61" i="23"/>
  <c r="AC61" i="23" s="1"/>
  <c r="AA69" i="23"/>
  <c r="AC69" i="23" s="1"/>
  <c r="AA76" i="23"/>
  <c r="AC76" i="23" s="1"/>
  <c r="AA62" i="23"/>
  <c r="AC62" i="23" s="1"/>
  <c r="AA66" i="23"/>
  <c r="AC66" i="23" s="1"/>
  <c r="AA70" i="23"/>
  <c r="AC70" i="23" s="1"/>
  <c r="AA77" i="23"/>
  <c r="AC77" i="23" s="1"/>
  <c r="AA63" i="23"/>
  <c r="AC63" i="23" s="1"/>
  <c r="AA80" i="23"/>
  <c r="AC80" i="23" s="1"/>
  <c r="AA65" i="23"/>
  <c r="AC65" i="23" s="1"/>
  <c r="AA71" i="23"/>
  <c r="AC71" i="23" s="1"/>
  <c r="AA79" i="23"/>
  <c r="AC79" i="23" s="1"/>
  <c r="AG28" i="28"/>
  <c r="AI25" i="16"/>
  <c r="AJ22" i="16" s="1"/>
  <c r="AI120" i="22"/>
  <c r="V120" i="22"/>
  <c r="AI53" i="22"/>
  <c r="AX22" i="28"/>
  <c r="AF22" i="28"/>
  <c r="AV26" i="28"/>
  <c r="AA26" i="28"/>
  <c r="Z26" i="28"/>
  <c r="AV20" i="28"/>
  <c r="AA20" i="28"/>
  <c r="Z20" i="28"/>
  <c r="O11" i="38"/>
  <c r="R11" i="38"/>
  <c r="S11" i="38"/>
  <c r="X11" i="38"/>
  <c r="AF35" i="13"/>
  <c r="AR35" i="13"/>
  <c r="AE35" i="13"/>
  <c r="AU71" i="19"/>
  <c r="X71" i="19"/>
  <c r="Y71" i="19"/>
  <c r="AF26" i="13"/>
  <c r="AF55" i="13"/>
  <c r="V7" i="12"/>
  <c r="Y7" i="12" s="1"/>
  <c r="V24" i="12"/>
  <c r="Y24" i="12" s="1"/>
  <c r="V8" i="12"/>
  <c r="Y8" i="12" s="1"/>
  <c r="V15" i="12"/>
  <c r="Y15" i="12" s="1"/>
  <c r="V22" i="12"/>
  <c r="Y22" i="12" s="1"/>
  <c r="W16" i="12"/>
  <c r="Z16" i="12" s="1"/>
  <c r="W31" i="12"/>
  <c r="Z31" i="12" s="1"/>
  <c r="W14" i="12"/>
  <c r="Z14" i="12" s="1"/>
  <c r="V17" i="12"/>
  <c r="Y17" i="12" s="1"/>
  <c r="W29" i="12"/>
  <c r="Z29" i="12" s="1"/>
  <c r="W8" i="12"/>
  <c r="Z8" i="12" s="1"/>
  <c r="V16" i="12"/>
  <c r="Y16" i="12" s="1"/>
  <c r="V30" i="12"/>
  <c r="Y30" i="12" s="1"/>
  <c r="W17" i="12"/>
  <c r="Z17" i="12" s="1"/>
  <c r="V29" i="12"/>
  <c r="Y29" i="12" s="1"/>
  <c r="W15" i="12"/>
  <c r="Z15" i="12" s="1"/>
  <c r="W9" i="12"/>
  <c r="Z9" i="12" s="1"/>
  <c r="W22" i="12"/>
  <c r="Z22" i="12" s="1"/>
  <c r="V21" i="12"/>
  <c r="Y21" i="12" s="1"/>
  <c r="W10" i="12"/>
  <c r="Z10" i="12" s="1"/>
  <c r="W23" i="12"/>
  <c r="Z23" i="12" s="1"/>
  <c r="V10" i="12"/>
  <c r="Y10" i="12" s="1"/>
  <c r="V23" i="12"/>
  <c r="Y23" i="12" s="1"/>
  <c r="W30" i="12"/>
  <c r="Z30" i="12" s="1"/>
  <c r="V28" i="12"/>
  <c r="Y28" i="12" s="1"/>
  <c r="V14" i="12"/>
  <c r="Y14" i="12" s="1"/>
  <c r="V31" i="12"/>
  <c r="Y31" i="12" s="1"/>
  <c r="W7" i="12"/>
  <c r="Z7" i="12" s="1"/>
  <c r="W21" i="12"/>
  <c r="Z21" i="12" s="1"/>
  <c r="W24" i="12"/>
  <c r="Z24" i="12" s="1"/>
  <c r="W28" i="12"/>
  <c r="Z28" i="12" s="1"/>
  <c r="V9" i="12"/>
  <c r="Y9" i="12" s="1"/>
  <c r="AD73" i="17"/>
  <c r="AF73" i="17" s="1"/>
  <c r="AD68" i="17"/>
  <c r="AF68" i="17" s="1"/>
  <c r="AD67" i="17"/>
  <c r="AF67" i="17" s="1"/>
  <c r="AD62" i="17"/>
  <c r="AF62" i="17" s="1"/>
  <c r="AD80" i="17"/>
  <c r="AF80" i="17" s="1"/>
  <c r="AD61" i="17"/>
  <c r="AF61" i="17" s="1"/>
  <c r="AD79" i="17"/>
  <c r="AF79" i="17" s="1"/>
  <c r="AD72" i="17"/>
  <c r="AF72" i="17" s="1"/>
  <c r="AD71" i="17"/>
  <c r="AF71" i="17" s="1"/>
  <c r="AD66" i="17"/>
  <c r="AF66" i="17" s="1"/>
  <c r="AD65" i="17"/>
  <c r="AF65" i="17" s="1"/>
  <c r="AD60" i="17"/>
  <c r="AF60" i="17" s="1"/>
  <c r="AD77" i="17"/>
  <c r="AF77" i="17" s="1"/>
  <c r="AD76" i="17"/>
  <c r="AF76" i="17" s="1"/>
  <c r="AD70" i="17"/>
  <c r="AF70" i="17" s="1"/>
  <c r="AD69" i="17"/>
  <c r="AF69" i="17" s="1"/>
  <c r="AD64" i="17"/>
  <c r="AF64" i="17" s="1"/>
  <c r="AD63" i="17"/>
  <c r="AF63" i="17" s="1"/>
  <c r="AD81" i="17"/>
  <c r="AF81" i="17" s="1"/>
  <c r="AD75" i="17"/>
  <c r="AF75" i="17" s="1"/>
  <c r="AN22" i="45"/>
  <c r="AQ22" i="45" s="1"/>
  <c r="AM22" i="45"/>
  <c r="AP22" i="45" s="1"/>
  <c r="AM23" i="45"/>
  <c r="AP23" i="45" s="1"/>
  <c r="AN23" i="45"/>
  <c r="AQ23" i="45" s="1"/>
  <c r="S10" i="22"/>
  <c r="R18" i="22"/>
  <c r="X88" i="23"/>
  <c r="AG22" i="28"/>
  <c r="AF28" i="28"/>
  <c r="V22" i="46"/>
  <c r="Y22" i="46" s="1"/>
  <c r="U19" i="46"/>
  <c r="X19" i="46" s="1"/>
  <c r="U26" i="46"/>
  <c r="X26" i="46" s="1"/>
  <c r="V26" i="46"/>
  <c r="Y26" i="46" s="1"/>
  <c r="V21" i="46"/>
  <c r="Y21" i="46" s="1"/>
  <c r="V23" i="46"/>
  <c r="Y23" i="46" s="1"/>
  <c r="U20" i="46"/>
  <c r="X20" i="46" s="1"/>
  <c r="U23" i="46"/>
  <c r="X23" i="46" s="1"/>
  <c r="V27" i="46"/>
  <c r="Y27" i="46" s="1"/>
  <c r="U24" i="46"/>
  <c r="X24" i="46" s="1"/>
  <c r="V19" i="46"/>
  <c r="Y19" i="46" s="1"/>
  <c r="V24" i="46"/>
  <c r="Y24" i="46" s="1"/>
  <c r="U25" i="46"/>
  <c r="X25" i="46" s="1"/>
  <c r="U22" i="46"/>
  <c r="X22" i="46" s="1"/>
  <c r="V25" i="46"/>
  <c r="Y25" i="46" s="1"/>
  <c r="V20" i="46"/>
  <c r="Y20" i="46" s="1"/>
  <c r="U21" i="46"/>
  <c r="X21" i="46" s="1"/>
  <c r="U27" i="46"/>
  <c r="X27" i="46" s="1"/>
  <c r="AK93" i="46"/>
  <c r="AN93" i="46" s="1"/>
  <c r="AK97" i="46"/>
  <c r="AN97" i="46" s="1"/>
  <c r="AL94" i="46"/>
  <c r="AO94" i="46" s="1"/>
  <c r="AL98" i="46"/>
  <c r="AO98" i="46" s="1"/>
  <c r="AL96" i="46"/>
  <c r="AO96" i="46" s="1"/>
  <c r="AL97" i="46"/>
  <c r="AO97" i="46" s="1"/>
  <c r="AK95" i="46"/>
  <c r="AN95" i="46" s="1"/>
  <c r="AL92" i="46"/>
  <c r="AO92" i="46" s="1"/>
  <c r="AL99" i="46"/>
  <c r="AO99" i="46" s="1"/>
  <c r="AL91" i="46"/>
  <c r="AO91" i="46" s="1"/>
  <c r="AK99" i="46"/>
  <c r="AN99" i="46" s="1"/>
  <c r="AK92" i="46"/>
  <c r="AN92" i="46" s="1"/>
  <c r="AK98" i="46"/>
  <c r="AN98" i="46" s="1"/>
  <c r="AL95" i="46"/>
  <c r="AO95" i="46" s="1"/>
  <c r="AL93" i="46"/>
  <c r="AO93" i="46" s="1"/>
  <c r="AK96" i="46"/>
  <c r="AN96" i="46" s="1"/>
  <c r="AK91" i="46"/>
  <c r="AN91" i="46" s="1"/>
  <c r="AK94" i="46"/>
  <c r="AN94" i="46" s="1"/>
  <c r="V94" i="46"/>
  <c r="Y94" i="46" s="1"/>
  <c r="U95" i="46"/>
  <c r="X95" i="46" s="1"/>
  <c r="V93" i="46"/>
  <c r="Y93" i="46" s="1"/>
  <c r="U93" i="46"/>
  <c r="X93" i="46" s="1"/>
  <c r="V99" i="46"/>
  <c r="Y99" i="46" s="1"/>
  <c r="V96" i="46"/>
  <c r="Y96" i="46" s="1"/>
  <c r="U97" i="46"/>
  <c r="X97" i="46" s="1"/>
  <c r="V95" i="46"/>
  <c r="Y95" i="46" s="1"/>
  <c r="U91" i="46"/>
  <c r="X91" i="46" s="1"/>
  <c r="V92" i="46"/>
  <c r="Y92" i="46" s="1"/>
  <c r="U98" i="46"/>
  <c r="X98" i="46" s="1"/>
  <c r="U99" i="46"/>
  <c r="X99" i="46" s="1"/>
  <c r="U92" i="46"/>
  <c r="X92" i="46" s="1"/>
  <c r="V98" i="46"/>
  <c r="Y98" i="46" s="1"/>
  <c r="V91" i="46"/>
  <c r="Y91" i="46" s="1"/>
  <c r="V97" i="46"/>
  <c r="Y97" i="46" s="1"/>
  <c r="U94" i="46"/>
  <c r="X94" i="46" s="1"/>
  <c r="U96" i="46"/>
  <c r="X96" i="46" s="1"/>
  <c r="U33" i="19"/>
  <c r="X33" i="19" s="1"/>
  <c r="V31" i="19"/>
  <c r="Y31" i="19" s="1"/>
  <c r="U35" i="19"/>
  <c r="X35" i="19" s="1"/>
  <c r="U37" i="19"/>
  <c r="X37" i="19" s="1"/>
  <c r="V39" i="19"/>
  <c r="Y39" i="19" s="1"/>
  <c r="V32" i="19"/>
  <c r="Y32" i="19" s="1"/>
  <c r="V34" i="19"/>
  <c r="Y34" i="19" s="1"/>
  <c r="V36" i="19"/>
  <c r="Y36" i="19" s="1"/>
  <c r="U39" i="19"/>
  <c r="X39" i="19" s="1"/>
  <c r="U32" i="19"/>
  <c r="X32" i="19" s="1"/>
  <c r="V37" i="19"/>
  <c r="Y37" i="19" s="1"/>
  <c r="U34" i="19"/>
  <c r="X34" i="19" s="1"/>
  <c r="U36" i="19"/>
  <c r="X36" i="19" s="1"/>
  <c r="V38" i="19"/>
  <c r="Y38" i="19" s="1"/>
  <c r="U31" i="19"/>
  <c r="X31" i="19" s="1"/>
  <c r="V33" i="19"/>
  <c r="Y33" i="19" s="1"/>
  <c r="V35" i="19"/>
  <c r="Y35" i="19" s="1"/>
  <c r="U38" i="19"/>
  <c r="X38" i="19" s="1"/>
  <c r="AD39" i="46"/>
  <c r="AG39" i="46" s="1"/>
  <c r="AC37" i="46"/>
  <c r="AF37" i="46" s="1"/>
  <c r="AC33" i="46"/>
  <c r="AF33" i="46" s="1"/>
  <c r="AC32" i="46"/>
  <c r="AF32" i="46" s="1"/>
  <c r="AD31" i="46"/>
  <c r="AG31" i="46" s="1"/>
  <c r="AD35" i="46"/>
  <c r="AG35" i="46" s="1"/>
  <c r="AD34" i="46"/>
  <c r="AG34" i="46" s="1"/>
  <c r="AC35" i="46"/>
  <c r="AF35" i="46" s="1"/>
  <c r="AC34" i="46"/>
  <c r="AF34" i="46" s="1"/>
  <c r="AC38" i="46"/>
  <c r="AF38" i="46" s="1"/>
  <c r="AD37" i="46"/>
  <c r="AG37" i="46" s="1"/>
  <c r="AC39" i="46"/>
  <c r="AF39" i="46" s="1"/>
  <c r="AD32" i="46"/>
  <c r="AG32" i="46" s="1"/>
  <c r="AD33" i="46"/>
  <c r="AG33" i="46" s="1"/>
  <c r="AD38" i="46"/>
  <c r="AG38" i="46" s="1"/>
  <c r="AC31" i="46"/>
  <c r="AF31" i="46" s="1"/>
  <c r="AD36" i="46"/>
  <c r="AG36" i="46" s="1"/>
  <c r="AC36" i="46"/>
  <c r="AF36" i="46" s="1"/>
  <c r="AD58" i="19"/>
  <c r="AG58" i="19" s="1"/>
  <c r="AD60" i="19"/>
  <c r="AG60" i="19" s="1"/>
  <c r="AD62" i="19"/>
  <c r="AG62" i="19" s="1"/>
  <c r="AD57" i="19"/>
  <c r="AG57" i="19" s="1"/>
  <c r="AD61" i="19"/>
  <c r="AG61" i="19" s="1"/>
  <c r="AD59" i="19"/>
  <c r="AG59" i="19" s="1"/>
  <c r="AD63" i="19"/>
  <c r="AG63" i="19" s="1"/>
  <c r="AD55" i="19"/>
  <c r="AG55" i="19" s="1"/>
  <c r="AC55" i="19"/>
  <c r="AF55" i="19" s="1"/>
  <c r="AC57" i="19"/>
  <c r="AF57" i="19" s="1"/>
  <c r="AC59" i="19"/>
  <c r="AF59" i="19" s="1"/>
  <c r="AC61" i="19"/>
  <c r="AF61" i="19" s="1"/>
  <c r="AC63" i="19"/>
  <c r="AF63" i="19" s="1"/>
  <c r="AD56" i="19"/>
  <c r="AG56" i="19" s="1"/>
  <c r="AC58" i="19"/>
  <c r="AF58" i="19" s="1"/>
  <c r="AC62" i="19"/>
  <c r="AF62" i="19" s="1"/>
  <c r="AC56" i="19"/>
  <c r="AF56" i="19" s="1"/>
  <c r="AC60" i="19"/>
  <c r="AF60" i="19" s="1"/>
  <c r="V48" i="46"/>
  <c r="Y48" i="46" s="1"/>
  <c r="U47" i="46"/>
  <c r="X47" i="46" s="1"/>
  <c r="V51" i="46"/>
  <c r="Y51" i="46" s="1"/>
  <c r="U50" i="46"/>
  <c r="X50" i="46" s="1"/>
  <c r="U44" i="46"/>
  <c r="X44" i="46" s="1"/>
  <c r="V50" i="46"/>
  <c r="Y50" i="46" s="1"/>
  <c r="V44" i="46"/>
  <c r="Y44" i="46" s="1"/>
  <c r="U43" i="46"/>
  <c r="X43" i="46" s="1"/>
  <c r="V47" i="46"/>
  <c r="Y47" i="46" s="1"/>
  <c r="U46" i="46"/>
  <c r="X46" i="46" s="1"/>
  <c r="V46" i="46"/>
  <c r="Y46" i="46" s="1"/>
  <c r="U49" i="46"/>
  <c r="X49" i="46" s="1"/>
  <c r="V49" i="46"/>
  <c r="Y49" i="46" s="1"/>
  <c r="V43" i="46"/>
  <c r="Y43" i="46" s="1"/>
  <c r="V45" i="46"/>
  <c r="Y45" i="46" s="1"/>
  <c r="U45" i="46"/>
  <c r="X45" i="46" s="1"/>
  <c r="U51" i="46"/>
  <c r="X51" i="46" s="1"/>
  <c r="U48" i="46"/>
  <c r="X48" i="46" s="1"/>
  <c r="V19" i="19"/>
  <c r="Y19" i="19" s="1"/>
  <c r="V25" i="19"/>
  <c r="Y25" i="19" s="1"/>
  <c r="V24" i="19"/>
  <c r="Y24" i="19" s="1"/>
  <c r="U25" i="19"/>
  <c r="X25" i="19" s="1"/>
  <c r="V21" i="19"/>
  <c r="Y21" i="19" s="1"/>
  <c r="U24" i="19"/>
  <c r="X24" i="19" s="1"/>
  <c r="V22" i="19"/>
  <c r="Y22" i="19" s="1"/>
  <c r="U27" i="19"/>
  <c r="X27" i="19" s="1"/>
  <c r="V20" i="19"/>
  <c r="Y20" i="19" s="1"/>
  <c r="V23" i="19"/>
  <c r="Y23" i="19" s="1"/>
  <c r="U20" i="19"/>
  <c r="X20" i="19" s="1"/>
  <c r="U26" i="19"/>
  <c r="X26" i="19" s="1"/>
  <c r="U19" i="19"/>
  <c r="X19" i="19" s="1"/>
  <c r="V26" i="19"/>
  <c r="Y26" i="19" s="1"/>
  <c r="U23" i="19"/>
  <c r="X23" i="19" s="1"/>
  <c r="U21" i="19"/>
  <c r="X21" i="19" s="1"/>
  <c r="U22" i="19"/>
  <c r="X22" i="19" s="1"/>
  <c r="V27" i="19"/>
  <c r="Y27" i="19" s="1"/>
  <c r="AD87" i="46"/>
  <c r="AG87" i="46" s="1"/>
  <c r="AC85" i="46"/>
  <c r="AF85" i="46" s="1"/>
  <c r="AD79" i="46"/>
  <c r="AG79" i="46" s="1"/>
  <c r="AC81" i="46"/>
  <c r="AF81" i="46" s="1"/>
  <c r="AC79" i="46"/>
  <c r="AF79" i="46" s="1"/>
  <c r="AD85" i="46"/>
  <c r="AG85" i="46" s="1"/>
  <c r="AD83" i="46"/>
  <c r="AG83" i="46" s="1"/>
  <c r="AC87" i="46"/>
  <c r="AF87" i="46" s="1"/>
  <c r="AC84" i="46"/>
  <c r="AF84" i="46" s="1"/>
  <c r="AC82" i="46"/>
  <c r="AF82" i="46" s="1"/>
  <c r="AD82" i="46"/>
  <c r="AG82" i="46" s="1"/>
  <c r="AD80" i="46"/>
  <c r="AG80" i="46" s="1"/>
  <c r="AC80" i="46"/>
  <c r="AF80" i="46" s="1"/>
  <c r="AD81" i="46"/>
  <c r="AG81" i="46" s="1"/>
  <c r="AC83" i="46"/>
  <c r="AF83" i="46" s="1"/>
  <c r="AD86" i="46"/>
  <c r="AG86" i="46" s="1"/>
  <c r="AC86" i="46"/>
  <c r="AF86" i="46" s="1"/>
  <c r="AD84" i="46"/>
  <c r="AG84" i="46" s="1"/>
  <c r="AL20" i="46"/>
  <c r="AO20" i="46" s="1"/>
  <c r="AL22" i="46"/>
  <c r="AO22" i="46" s="1"/>
  <c r="AL24" i="46"/>
  <c r="AO24" i="46" s="1"/>
  <c r="AL26" i="46"/>
  <c r="AO26" i="46" s="1"/>
  <c r="AK19" i="46"/>
  <c r="AN19" i="46" s="1"/>
  <c r="AK26" i="46"/>
  <c r="AN26" i="46" s="1"/>
  <c r="AL19" i="46"/>
  <c r="AO19" i="46" s="1"/>
  <c r="AL21" i="46"/>
  <c r="AO21" i="46" s="1"/>
  <c r="AL23" i="46"/>
  <c r="AO23" i="46" s="1"/>
  <c r="AK23" i="46"/>
  <c r="AN23" i="46" s="1"/>
  <c r="AL27" i="46"/>
  <c r="AO27" i="46" s="1"/>
  <c r="AK25" i="46"/>
  <c r="AN25" i="46" s="1"/>
  <c r="AK20" i="46"/>
  <c r="AN20" i="46" s="1"/>
  <c r="AK21" i="46"/>
  <c r="AN21" i="46" s="1"/>
  <c r="AK24" i="46"/>
  <c r="AN24" i="46" s="1"/>
  <c r="AK27" i="46"/>
  <c r="AN27" i="46" s="1"/>
  <c r="AK22" i="46"/>
  <c r="AN22" i="46" s="1"/>
  <c r="AL25" i="46"/>
  <c r="AO25" i="46" s="1"/>
  <c r="AC43" i="19"/>
  <c r="AF43" i="19" s="1"/>
  <c r="AC44" i="19"/>
  <c r="AF44" i="19" s="1"/>
  <c r="AC45" i="19"/>
  <c r="AF45" i="19" s="1"/>
  <c r="AC46" i="19"/>
  <c r="AF46" i="19" s="1"/>
  <c r="AC47" i="19"/>
  <c r="AF47" i="19" s="1"/>
  <c r="AC48" i="19"/>
  <c r="AF48" i="19" s="1"/>
  <c r="AC49" i="19"/>
  <c r="AF49" i="19" s="1"/>
  <c r="AC50" i="19"/>
  <c r="AF50" i="19" s="1"/>
  <c r="AC51" i="19"/>
  <c r="AF51" i="19" s="1"/>
  <c r="AD43" i="19"/>
  <c r="AG43" i="19" s="1"/>
  <c r="AD45" i="19"/>
  <c r="AG45" i="19" s="1"/>
  <c r="AD47" i="19"/>
  <c r="AG47" i="19" s="1"/>
  <c r="AD49" i="19"/>
  <c r="AG49" i="19" s="1"/>
  <c r="AD51" i="19"/>
  <c r="AG51" i="19" s="1"/>
  <c r="AD44" i="19"/>
  <c r="AG44" i="19" s="1"/>
  <c r="AD46" i="19"/>
  <c r="AG46" i="19" s="1"/>
  <c r="AD48" i="19"/>
  <c r="AG48" i="19" s="1"/>
  <c r="AD50" i="19"/>
  <c r="AG50" i="19" s="1"/>
  <c r="AL72" i="46"/>
  <c r="AO72" i="46" s="1"/>
  <c r="AL75" i="46"/>
  <c r="AO75" i="46" s="1"/>
  <c r="AK69" i="46"/>
  <c r="AN69" i="46" s="1"/>
  <c r="AK71" i="46"/>
  <c r="AN71" i="46" s="1"/>
  <c r="AK72" i="46"/>
  <c r="AN72" i="46" s="1"/>
  <c r="AK68" i="46"/>
  <c r="AN68" i="46" s="1"/>
  <c r="AK70" i="46"/>
  <c r="AN70" i="46" s="1"/>
  <c r="AK75" i="46"/>
  <c r="AN75" i="46" s="1"/>
  <c r="AK73" i="46"/>
  <c r="AN73" i="46" s="1"/>
  <c r="AL71" i="46"/>
  <c r="AO71" i="46" s="1"/>
  <c r="AL73" i="46"/>
  <c r="AO73" i="46" s="1"/>
  <c r="AL74" i="46"/>
  <c r="AO74" i="46" s="1"/>
  <c r="AK74" i="46"/>
  <c r="AN74" i="46" s="1"/>
  <c r="AL69" i="46"/>
  <c r="AO69" i="46" s="1"/>
  <c r="AK67" i="46"/>
  <c r="AN67" i="46" s="1"/>
  <c r="AL68" i="46"/>
  <c r="AO68" i="46" s="1"/>
  <c r="AL67" i="46"/>
  <c r="AO67" i="46" s="1"/>
  <c r="AL70" i="46"/>
  <c r="AO70" i="46" s="1"/>
  <c r="AD67" i="19"/>
  <c r="AG67" i="19" s="1"/>
  <c r="AC70" i="19"/>
  <c r="AF70" i="19" s="1"/>
  <c r="AC71" i="19"/>
  <c r="AF71" i="19" s="1"/>
  <c r="AD74" i="19"/>
  <c r="AG74" i="19" s="1"/>
  <c r="AD75" i="19"/>
  <c r="AG75" i="19" s="1"/>
  <c r="AD68" i="19"/>
  <c r="AG68" i="19" s="1"/>
  <c r="AD69" i="19"/>
  <c r="AG69" i="19" s="1"/>
  <c r="AC72" i="19"/>
  <c r="AF72" i="19" s="1"/>
  <c r="AC73" i="19"/>
  <c r="AF73" i="19" s="1"/>
  <c r="AC68" i="19"/>
  <c r="AF68" i="19" s="1"/>
  <c r="AD72" i="19"/>
  <c r="AG72" i="19" s="1"/>
  <c r="AC67" i="19"/>
  <c r="AF67" i="19" s="1"/>
  <c r="AD71" i="19"/>
  <c r="AG71" i="19" s="1"/>
  <c r="AC74" i="19"/>
  <c r="AF74" i="19" s="1"/>
  <c r="AC69" i="19"/>
  <c r="AF69" i="19" s="1"/>
  <c r="AD73" i="19"/>
  <c r="AG73" i="19" s="1"/>
  <c r="AD70" i="19"/>
  <c r="AG70" i="19" s="1"/>
  <c r="AC75" i="19"/>
  <c r="AF75" i="19" s="1"/>
  <c r="AC7" i="19"/>
  <c r="AF7" i="19" s="1"/>
  <c r="AD11" i="19"/>
  <c r="AG11" i="19" s="1"/>
  <c r="AC8" i="19"/>
  <c r="AF8" i="19" s="1"/>
  <c r="AC9" i="19"/>
  <c r="AF9" i="19" s="1"/>
  <c r="AC10" i="19"/>
  <c r="AF10" i="19" s="1"/>
  <c r="AC11" i="19"/>
  <c r="AF11" i="19" s="1"/>
  <c r="AD12" i="19"/>
  <c r="AG12" i="19" s="1"/>
  <c r="AD13" i="19"/>
  <c r="AG13" i="19" s="1"/>
  <c r="AD14" i="19"/>
  <c r="AG14" i="19" s="1"/>
  <c r="AD7" i="19"/>
  <c r="AG7" i="19" s="1"/>
  <c r="AD9" i="19"/>
  <c r="AG9" i="19" s="1"/>
  <c r="AC12" i="19"/>
  <c r="AF12" i="19" s="1"/>
  <c r="AC14" i="19"/>
  <c r="AF14" i="19" s="1"/>
  <c r="AD15" i="19"/>
  <c r="AG15" i="19" s="1"/>
  <c r="AD8" i="19"/>
  <c r="AG8" i="19" s="1"/>
  <c r="AD10" i="19"/>
  <c r="AG10" i="19" s="1"/>
  <c r="AC13" i="19"/>
  <c r="AF13" i="19" s="1"/>
  <c r="AC15" i="19"/>
  <c r="AF15" i="19" s="1"/>
  <c r="V97" i="19"/>
  <c r="Y97" i="19" s="1"/>
  <c r="V95" i="19"/>
  <c r="Y95" i="19" s="1"/>
  <c r="U97" i="19"/>
  <c r="X97" i="19" s="1"/>
  <c r="V91" i="19"/>
  <c r="Y91" i="19" s="1"/>
  <c r="V98" i="19"/>
  <c r="Y98" i="19" s="1"/>
  <c r="V99" i="19"/>
  <c r="Y99" i="19" s="1"/>
  <c r="V93" i="19"/>
  <c r="Y93" i="19" s="1"/>
  <c r="U96" i="19"/>
  <c r="X96" i="19" s="1"/>
  <c r="U94" i="19"/>
  <c r="X94" i="19" s="1"/>
  <c r="U98" i="19"/>
  <c r="X98" i="19" s="1"/>
  <c r="V96" i="19"/>
  <c r="Y96" i="19" s="1"/>
  <c r="V94" i="19"/>
  <c r="Y94" i="19" s="1"/>
  <c r="U92" i="19"/>
  <c r="X92" i="19" s="1"/>
  <c r="V92" i="19"/>
  <c r="Y92" i="19" s="1"/>
  <c r="U91" i="19"/>
  <c r="X91" i="19" s="1"/>
  <c r="U99" i="19"/>
  <c r="X99" i="19" s="1"/>
  <c r="U95" i="19"/>
  <c r="X95" i="19" s="1"/>
  <c r="U93" i="19"/>
  <c r="X93" i="19" s="1"/>
  <c r="AC59" i="46"/>
  <c r="AF59" i="46" s="1"/>
  <c r="AD59" i="46"/>
  <c r="AG59" i="46" s="1"/>
  <c r="AD55" i="46"/>
  <c r="AG55" i="46" s="1"/>
  <c r="AD63" i="46"/>
  <c r="AG63" i="46" s="1"/>
  <c r="AC57" i="46"/>
  <c r="AF57" i="46" s="1"/>
  <c r="AC62" i="46"/>
  <c r="AF62" i="46" s="1"/>
  <c r="AD56" i="46"/>
  <c r="AG56" i="46" s="1"/>
  <c r="AC61" i="46"/>
  <c r="AF61" i="46" s="1"/>
  <c r="AC56" i="46"/>
  <c r="AF56" i="46" s="1"/>
  <c r="AD57" i="46"/>
  <c r="AG57" i="46" s="1"/>
  <c r="AD62" i="46"/>
  <c r="AG62" i="46" s="1"/>
  <c r="AD61" i="46"/>
  <c r="AG61" i="46" s="1"/>
  <c r="AC63" i="46"/>
  <c r="AF63" i="46" s="1"/>
  <c r="AC55" i="46"/>
  <c r="AF55" i="46" s="1"/>
  <c r="AC58" i="46"/>
  <c r="AF58" i="46" s="1"/>
  <c r="AC60" i="46"/>
  <c r="AF60" i="46" s="1"/>
  <c r="AD58" i="46"/>
  <c r="AG58" i="46" s="1"/>
  <c r="AD60" i="46"/>
  <c r="AG60" i="46" s="1"/>
  <c r="V70" i="46"/>
  <c r="Y70" i="46" s="1"/>
  <c r="U70" i="46"/>
  <c r="X70" i="46" s="1"/>
  <c r="U68" i="46"/>
  <c r="X68" i="46" s="1"/>
  <c r="U71" i="46"/>
  <c r="X71" i="46" s="1"/>
  <c r="V69" i="46"/>
  <c r="Y69" i="46" s="1"/>
  <c r="U72" i="46"/>
  <c r="X72" i="46" s="1"/>
  <c r="V73" i="46"/>
  <c r="Y73" i="46" s="1"/>
  <c r="V75" i="46"/>
  <c r="Y75" i="46" s="1"/>
  <c r="U75" i="46"/>
  <c r="X75" i="46" s="1"/>
  <c r="U74" i="46"/>
  <c r="X74" i="46" s="1"/>
  <c r="V67" i="46"/>
  <c r="Y67" i="46" s="1"/>
  <c r="U73" i="46"/>
  <c r="X73" i="46" s="1"/>
  <c r="V72" i="46"/>
  <c r="Y72" i="46" s="1"/>
  <c r="U67" i="46"/>
  <c r="X67" i="46" s="1"/>
  <c r="V74" i="46"/>
  <c r="Y74" i="46" s="1"/>
  <c r="V68" i="46"/>
  <c r="Y68" i="46" s="1"/>
  <c r="U69" i="46"/>
  <c r="X69" i="46" s="1"/>
  <c r="V71" i="46"/>
  <c r="Y71" i="46" s="1"/>
  <c r="AK44" i="46"/>
  <c r="AN44" i="46" s="1"/>
  <c r="AL44" i="46"/>
  <c r="AO44" i="46" s="1"/>
  <c r="AL51" i="46"/>
  <c r="AO51" i="46" s="1"/>
  <c r="AL43" i="46"/>
  <c r="AO43" i="46" s="1"/>
  <c r="AK46" i="46"/>
  <c r="AN46" i="46" s="1"/>
  <c r="AL46" i="46"/>
  <c r="AO46" i="46" s="1"/>
  <c r="AK43" i="46"/>
  <c r="AN43" i="46" s="1"/>
  <c r="AL45" i="46"/>
  <c r="AO45" i="46" s="1"/>
  <c r="AK48" i="46"/>
  <c r="AN48" i="46" s="1"/>
  <c r="AL48" i="46"/>
  <c r="AO48" i="46" s="1"/>
  <c r="AL50" i="46"/>
  <c r="AO50" i="46" s="1"/>
  <c r="AK50" i="46"/>
  <c r="AN50" i="46" s="1"/>
  <c r="AK49" i="46"/>
  <c r="AN49" i="46" s="1"/>
  <c r="AK47" i="46"/>
  <c r="AN47" i="46" s="1"/>
  <c r="AK51" i="46"/>
  <c r="AN51" i="46" s="1"/>
  <c r="AL47" i="46"/>
  <c r="AO47" i="46" s="1"/>
  <c r="AL49" i="46"/>
  <c r="AO49" i="46" s="1"/>
  <c r="AK45" i="46"/>
  <c r="AN45" i="46" s="1"/>
  <c r="X131" i="17" l="1"/>
  <c r="Z131" i="17" s="1"/>
  <c r="X127" i="17"/>
  <c r="Z127" i="17" s="1"/>
  <c r="X115" i="17"/>
  <c r="Z115" i="17" s="1"/>
  <c r="X119" i="17"/>
  <c r="Z119" i="17" s="1"/>
  <c r="X123" i="17"/>
  <c r="Z123" i="17" s="1"/>
  <c r="X112" i="17"/>
  <c r="Z112" i="17" s="1"/>
  <c r="X132" i="17"/>
  <c r="Z132" i="17" s="1"/>
  <c r="X113" i="17"/>
  <c r="Z113" i="17" s="1"/>
  <c r="X117" i="17"/>
  <c r="Z117" i="17" s="1"/>
  <c r="X122" i="17"/>
  <c r="Z122" i="17" s="1"/>
  <c r="X118" i="17"/>
  <c r="Z118" i="17" s="1"/>
  <c r="X124" i="17"/>
  <c r="Z124" i="17" s="1"/>
  <c r="X129" i="17"/>
  <c r="Z129" i="17" s="1"/>
  <c r="X120" i="17"/>
  <c r="Z120" i="17" s="1"/>
  <c r="X125" i="17"/>
  <c r="Z125" i="17" s="1"/>
  <c r="X128" i="17"/>
  <c r="Z128" i="17" s="1"/>
  <c r="X121" i="17"/>
  <c r="Z121" i="17" s="1"/>
  <c r="X133" i="17"/>
  <c r="Z133" i="17" s="1"/>
  <c r="X116" i="17"/>
  <c r="Z116" i="17" s="1"/>
  <c r="X114" i="17"/>
  <c r="Z114" i="17" s="1"/>
  <c r="AA112" i="23"/>
  <c r="AC112" i="23" s="1"/>
  <c r="AA115" i="23"/>
  <c r="AC115" i="23" s="1"/>
  <c r="AA125" i="23"/>
  <c r="AC125" i="23" s="1"/>
  <c r="AA120" i="23"/>
  <c r="AC120" i="23" s="1"/>
  <c r="AA113" i="23"/>
  <c r="AC113" i="23" s="1"/>
  <c r="AA131" i="23"/>
  <c r="AC131" i="23" s="1"/>
  <c r="AA122" i="23"/>
  <c r="AC122" i="23" s="1"/>
  <c r="AA117" i="23"/>
  <c r="AC117" i="23" s="1"/>
  <c r="AA133" i="23"/>
  <c r="AC133" i="23" s="1"/>
  <c r="AA116" i="23"/>
  <c r="AC116" i="23" s="1"/>
  <c r="AA129" i="23"/>
  <c r="AC129" i="23" s="1"/>
  <c r="AA123" i="23"/>
  <c r="AC123" i="23" s="1"/>
  <c r="AA114" i="23"/>
  <c r="AC114" i="23" s="1"/>
  <c r="AA119" i="23"/>
  <c r="AC119" i="23" s="1"/>
  <c r="AA127" i="23"/>
  <c r="AC127" i="23" s="1"/>
  <c r="AA128" i="23"/>
  <c r="AC128" i="23" s="1"/>
  <c r="AA118" i="23"/>
  <c r="AC118" i="23" s="1"/>
  <c r="AA121" i="23"/>
  <c r="AC121" i="23" s="1"/>
  <c r="AA124" i="23"/>
  <c r="AC124" i="23" s="1"/>
  <c r="AA132" i="23"/>
  <c r="AC132" i="23" s="1"/>
  <c r="W42" i="18"/>
  <c r="Z42" i="18" s="1"/>
  <c r="V42" i="18"/>
  <c r="Y42" i="18" s="1"/>
  <c r="V43" i="18"/>
  <c r="Y43" i="18" s="1"/>
  <c r="W43" i="18"/>
  <c r="Z43" i="18" s="1"/>
  <c r="U114" i="23"/>
  <c r="W114" i="23" s="1"/>
  <c r="U113" i="23"/>
  <c r="W113" i="23" s="1"/>
  <c r="U116" i="23"/>
  <c r="W116" i="23" s="1"/>
  <c r="U124" i="23"/>
  <c r="W124" i="23" s="1"/>
  <c r="U121" i="23"/>
  <c r="W121" i="23" s="1"/>
  <c r="U123" i="23"/>
  <c r="W123" i="23" s="1"/>
  <c r="U133" i="23"/>
  <c r="W133" i="23" s="1"/>
  <c r="U127" i="23"/>
  <c r="W127" i="23" s="1"/>
  <c r="U115" i="23"/>
  <c r="W115" i="23" s="1"/>
  <c r="U117" i="23"/>
  <c r="W117" i="23" s="1"/>
  <c r="U112" i="23"/>
  <c r="W112" i="23" s="1"/>
  <c r="U120" i="23"/>
  <c r="W120" i="23" s="1"/>
  <c r="U132" i="23"/>
  <c r="W132" i="23" s="1"/>
  <c r="U129" i="23"/>
  <c r="W129" i="23" s="1"/>
  <c r="U122" i="23"/>
  <c r="W122" i="23" s="1"/>
  <c r="U128" i="23"/>
  <c r="W128" i="23" s="1"/>
  <c r="U125" i="23"/>
  <c r="W125" i="23" s="1"/>
  <c r="U119" i="23"/>
  <c r="W119" i="23" s="1"/>
  <c r="U118" i="23"/>
  <c r="W118" i="23" s="1"/>
  <c r="U131" i="23"/>
  <c r="W131" i="23" s="1"/>
  <c r="AD120" i="17"/>
  <c r="AF120" i="17" s="1"/>
  <c r="AD121" i="17"/>
  <c r="AF121" i="17" s="1"/>
  <c r="AD124" i="17"/>
  <c r="AF124" i="17" s="1"/>
  <c r="AD122" i="17"/>
  <c r="AF122" i="17" s="1"/>
  <c r="AD117" i="17"/>
  <c r="AF117" i="17" s="1"/>
  <c r="AD132" i="17"/>
  <c r="AF132" i="17" s="1"/>
  <c r="AD116" i="17"/>
  <c r="AF116" i="17" s="1"/>
  <c r="AD113" i="17"/>
  <c r="AF113" i="17" s="1"/>
  <c r="AD128" i="17"/>
  <c r="AF128" i="17" s="1"/>
  <c r="AD118" i="17"/>
  <c r="AF118" i="17" s="1"/>
  <c r="AD129" i="17"/>
  <c r="AF129" i="17" s="1"/>
  <c r="AD115" i="17"/>
  <c r="AF115" i="17" s="1"/>
  <c r="AD119" i="17"/>
  <c r="AF119" i="17" s="1"/>
  <c r="AD114" i="17"/>
  <c r="AF114" i="17" s="1"/>
  <c r="AD131" i="17"/>
  <c r="AF131" i="17" s="1"/>
  <c r="AD125" i="17"/>
  <c r="AF125" i="17" s="1"/>
  <c r="AD112" i="17"/>
  <c r="AF112" i="17" s="1"/>
  <c r="AD123" i="17"/>
  <c r="AF123" i="17" s="1"/>
  <c r="AD133" i="17"/>
  <c r="AF133" i="17" s="1"/>
  <c r="AD127" i="17"/>
  <c r="AF127" i="17" s="1"/>
  <c r="AE37" i="18"/>
  <c r="AH37" i="18" s="1"/>
  <c r="AD38" i="18"/>
  <c r="AG38" i="18" s="1"/>
  <c r="AE38" i="18"/>
  <c r="AH38" i="18" s="1"/>
  <c r="AD37" i="18"/>
  <c r="AG37" i="18" s="1"/>
  <c r="AM43" i="45"/>
  <c r="AP43" i="45" s="1"/>
  <c r="AN42" i="45"/>
  <c r="AQ42" i="45" s="1"/>
  <c r="AN43" i="45"/>
  <c r="AQ43" i="45" s="1"/>
  <c r="AM42" i="45"/>
  <c r="AP42" i="45" s="1"/>
  <c r="AB112" i="23"/>
  <c r="AD112" i="23" s="1"/>
  <c r="AB120" i="23"/>
  <c r="AD120" i="23" s="1"/>
  <c r="AB122" i="23"/>
  <c r="AD122" i="23" s="1"/>
  <c r="AB128" i="23"/>
  <c r="AD128" i="23" s="1"/>
  <c r="AB124" i="23"/>
  <c r="AD124" i="23" s="1"/>
  <c r="AB129" i="23"/>
  <c r="AD129" i="23" s="1"/>
  <c r="AB127" i="23"/>
  <c r="AD127" i="23" s="1"/>
  <c r="AB132" i="23"/>
  <c r="AD132" i="23" s="1"/>
  <c r="AB118" i="23"/>
  <c r="AD118" i="23" s="1"/>
  <c r="AB133" i="23"/>
  <c r="AD133" i="23" s="1"/>
  <c r="AB117" i="23"/>
  <c r="AD117" i="23" s="1"/>
  <c r="AB125" i="23"/>
  <c r="AD125" i="23" s="1"/>
  <c r="AB119" i="23"/>
  <c r="AD119" i="23" s="1"/>
  <c r="AB121" i="23"/>
  <c r="AD121" i="23" s="1"/>
  <c r="AB115" i="23"/>
  <c r="AD115" i="23" s="1"/>
  <c r="AB113" i="23"/>
  <c r="AD113" i="23" s="1"/>
  <c r="AB131" i="23"/>
  <c r="AD131" i="23" s="1"/>
  <c r="AB123" i="23"/>
  <c r="AD123" i="23" s="1"/>
  <c r="AB114" i="23"/>
  <c r="AD114" i="23" s="1"/>
  <c r="AB116" i="23"/>
  <c r="AD116" i="23" s="1"/>
  <c r="AE117" i="17"/>
  <c r="AG117" i="17" s="1"/>
  <c r="AE121" i="17"/>
  <c r="AG121" i="17" s="1"/>
  <c r="AE114" i="17"/>
  <c r="AG114" i="17" s="1"/>
  <c r="AE133" i="17"/>
  <c r="AG133" i="17" s="1"/>
  <c r="AE119" i="17"/>
  <c r="AG119" i="17" s="1"/>
  <c r="AE116" i="17"/>
  <c r="AG116" i="17" s="1"/>
  <c r="AE112" i="17"/>
  <c r="AG112" i="17" s="1"/>
  <c r="AE120" i="17"/>
  <c r="AG120" i="17" s="1"/>
  <c r="AE118" i="17"/>
  <c r="AG118" i="17" s="1"/>
  <c r="AE123" i="17"/>
  <c r="AG123" i="17" s="1"/>
  <c r="AE122" i="17"/>
  <c r="AG122" i="17" s="1"/>
  <c r="AE113" i="17"/>
  <c r="AG113" i="17" s="1"/>
  <c r="AE124" i="17"/>
  <c r="AG124" i="17" s="1"/>
  <c r="AE115" i="17"/>
  <c r="AG115" i="17" s="1"/>
  <c r="AE131" i="17"/>
  <c r="AG131" i="17" s="1"/>
  <c r="AE132" i="17"/>
  <c r="AG132" i="17" s="1"/>
  <c r="AE125" i="17"/>
  <c r="AG125" i="17" s="1"/>
  <c r="AE128" i="17"/>
  <c r="AG128" i="17" s="1"/>
  <c r="AE127" i="17"/>
  <c r="AG127" i="17" s="1"/>
  <c r="AE129" i="17"/>
  <c r="AG129" i="17" s="1"/>
  <c r="V17" i="18"/>
  <c r="Y17" i="18" s="1"/>
  <c r="W18" i="18"/>
  <c r="Z18" i="18" s="1"/>
  <c r="V18" i="18"/>
  <c r="Y18" i="18" s="1"/>
  <c r="W17" i="18"/>
  <c r="Z17" i="18" s="1"/>
  <c r="AE22" i="45"/>
  <c r="AH22" i="45" s="1"/>
  <c r="AF22" i="45"/>
  <c r="AI22" i="45" s="1"/>
  <c r="AF23" i="45"/>
  <c r="AI23" i="45" s="1"/>
  <c r="AE23" i="45"/>
  <c r="AH23" i="45" s="1"/>
  <c r="X64" i="17"/>
  <c r="Z64" i="17" s="1"/>
  <c r="X76" i="17"/>
  <c r="Z76" i="17" s="1"/>
  <c r="X72" i="17"/>
  <c r="Z72" i="17" s="1"/>
  <c r="X66" i="17"/>
  <c r="Z66" i="17" s="1"/>
  <c r="X79" i="17"/>
  <c r="Z79" i="17" s="1"/>
  <c r="X69" i="17"/>
  <c r="Z69" i="17" s="1"/>
  <c r="X80" i="17"/>
  <c r="Z80" i="17" s="1"/>
  <c r="X63" i="17"/>
  <c r="Z63" i="17" s="1"/>
  <c r="X62" i="17"/>
  <c r="Z62" i="17" s="1"/>
  <c r="X81" i="17"/>
  <c r="Z81" i="17" s="1"/>
  <c r="X68" i="17"/>
  <c r="Z68" i="17" s="1"/>
  <c r="X67" i="17"/>
  <c r="Z67" i="17" s="1"/>
  <c r="X70" i="17"/>
  <c r="Z70" i="17" s="1"/>
  <c r="X65" i="17"/>
  <c r="Z65" i="17" s="1"/>
  <c r="X77" i="17"/>
  <c r="Z77" i="17" s="1"/>
  <c r="X61" i="17"/>
  <c r="Z61" i="17" s="1"/>
  <c r="X71" i="17"/>
  <c r="Z71" i="17" s="1"/>
  <c r="X73" i="17"/>
  <c r="Z73" i="17" s="1"/>
  <c r="X60" i="17"/>
  <c r="Z60" i="17" s="1"/>
  <c r="X75" i="17"/>
  <c r="Z75" i="17" s="1"/>
  <c r="AD89" i="17"/>
  <c r="AF89" i="17" s="1"/>
  <c r="AD97" i="17"/>
  <c r="AF97" i="17" s="1"/>
  <c r="AD94" i="17"/>
  <c r="AF94" i="17" s="1"/>
  <c r="AD95" i="17"/>
  <c r="AF95" i="17" s="1"/>
  <c r="AD93" i="17"/>
  <c r="AF93" i="17" s="1"/>
  <c r="AD102" i="17"/>
  <c r="AF102" i="17" s="1"/>
  <c r="AD105" i="17"/>
  <c r="AF105" i="17" s="1"/>
  <c r="AD88" i="17"/>
  <c r="AF88" i="17" s="1"/>
  <c r="AD106" i="17"/>
  <c r="AF106" i="17" s="1"/>
  <c r="AD103" i="17"/>
  <c r="AF103" i="17" s="1"/>
  <c r="AD98" i="17"/>
  <c r="AF98" i="17" s="1"/>
  <c r="AD92" i="17"/>
  <c r="AF92" i="17" s="1"/>
  <c r="AD101" i="17"/>
  <c r="AF101" i="17" s="1"/>
  <c r="AD96" i="17"/>
  <c r="AF96" i="17" s="1"/>
  <c r="AD91" i="17"/>
  <c r="AF91" i="17" s="1"/>
  <c r="AD87" i="17"/>
  <c r="AF87" i="17" s="1"/>
  <c r="AD107" i="17"/>
  <c r="AF107" i="17" s="1"/>
  <c r="AD90" i="17"/>
  <c r="AF90" i="17" s="1"/>
  <c r="AD99" i="17"/>
  <c r="AF99" i="17" s="1"/>
  <c r="AD86" i="17"/>
  <c r="AF86" i="17" s="1"/>
  <c r="AD46" i="28"/>
  <c r="AF46" i="28" s="1"/>
  <c r="AD54" i="28"/>
  <c r="AF54" i="28" s="1"/>
  <c r="AD47" i="28"/>
  <c r="AF47" i="28" s="1"/>
  <c r="AD48" i="28"/>
  <c r="AF48" i="28" s="1"/>
  <c r="AD52" i="28"/>
  <c r="AF52" i="28" s="1"/>
  <c r="AD53" i="28"/>
  <c r="AF53" i="28" s="1"/>
  <c r="U52" i="24"/>
  <c r="W52" i="24" s="1"/>
  <c r="U50" i="24"/>
  <c r="W50" i="24" s="1"/>
  <c r="U51" i="24"/>
  <c r="W51" i="24" s="1"/>
  <c r="AN27" i="45"/>
  <c r="AQ27" i="45" s="1"/>
  <c r="AM28" i="45"/>
  <c r="AP28" i="45" s="1"/>
  <c r="AM27" i="45"/>
  <c r="AP27" i="45" s="1"/>
  <c r="AN28" i="45"/>
  <c r="AQ28" i="45" s="1"/>
  <c r="T50" i="24"/>
  <c r="V50" i="24" s="1"/>
  <c r="T52" i="24"/>
  <c r="V52" i="24" s="1"/>
  <c r="T51" i="24"/>
  <c r="V51" i="24" s="1"/>
  <c r="X128" i="27"/>
  <c r="Z128" i="27" s="1"/>
  <c r="X133" i="27"/>
  <c r="Z133" i="27" s="1"/>
  <c r="X121" i="27"/>
  <c r="Z121" i="27" s="1"/>
  <c r="X113" i="27"/>
  <c r="Z113" i="27" s="1"/>
  <c r="X129" i="27"/>
  <c r="Z129" i="27" s="1"/>
  <c r="X123" i="27"/>
  <c r="Z123" i="27" s="1"/>
  <c r="X120" i="27"/>
  <c r="Z120" i="27" s="1"/>
  <c r="X127" i="27"/>
  <c r="Z127" i="27" s="1"/>
  <c r="X114" i="27"/>
  <c r="Z114" i="27" s="1"/>
  <c r="X125" i="27"/>
  <c r="Z125" i="27" s="1"/>
  <c r="X119" i="27"/>
  <c r="Z119" i="27" s="1"/>
  <c r="X118" i="27"/>
  <c r="Z118" i="27" s="1"/>
  <c r="X122" i="27"/>
  <c r="Z122" i="27" s="1"/>
  <c r="X117" i="27"/>
  <c r="Z117" i="27" s="1"/>
  <c r="X116" i="27"/>
  <c r="Z116" i="27" s="1"/>
  <c r="X112" i="27"/>
  <c r="Z112" i="27" s="1"/>
  <c r="X132" i="27"/>
  <c r="Z132" i="27" s="1"/>
  <c r="X115" i="27"/>
  <c r="Z115" i="27" s="1"/>
  <c r="X124" i="27"/>
  <c r="Z124" i="27" s="1"/>
  <c r="X131" i="27"/>
  <c r="Z131" i="27" s="1"/>
  <c r="U63" i="24"/>
  <c r="W63" i="24" s="1"/>
  <c r="U64" i="24"/>
  <c r="W64" i="24" s="1"/>
  <c r="U62" i="24"/>
  <c r="W62" i="24" s="1"/>
  <c r="V131" i="23"/>
  <c r="X131" i="23" s="1"/>
  <c r="V115" i="23"/>
  <c r="X115" i="23" s="1"/>
  <c r="V127" i="23"/>
  <c r="X127" i="23" s="1"/>
  <c r="V118" i="23"/>
  <c r="X118" i="23" s="1"/>
  <c r="V112" i="23"/>
  <c r="X112" i="23" s="1"/>
  <c r="V125" i="23"/>
  <c r="X125" i="23" s="1"/>
  <c r="V117" i="23"/>
  <c r="X117" i="23" s="1"/>
  <c r="V124" i="23"/>
  <c r="X124" i="23" s="1"/>
  <c r="V114" i="23"/>
  <c r="X114" i="23" s="1"/>
  <c r="V133" i="23"/>
  <c r="X133" i="23" s="1"/>
  <c r="V123" i="23"/>
  <c r="X123" i="23" s="1"/>
  <c r="V113" i="23"/>
  <c r="X113" i="23" s="1"/>
  <c r="V122" i="23"/>
  <c r="X122" i="23" s="1"/>
  <c r="V132" i="23"/>
  <c r="X132" i="23" s="1"/>
  <c r="V121" i="23"/>
  <c r="X121" i="23" s="1"/>
  <c r="V120" i="23"/>
  <c r="X120" i="23" s="1"/>
  <c r="V128" i="23"/>
  <c r="X128" i="23" s="1"/>
  <c r="V129" i="23"/>
  <c r="X129" i="23" s="1"/>
  <c r="V119" i="23"/>
  <c r="X119" i="23" s="1"/>
  <c r="V116" i="23"/>
  <c r="X116" i="23" s="1"/>
  <c r="AB37" i="25"/>
  <c r="AA38" i="25"/>
  <c r="AB38" i="25"/>
  <c r="AA37" i="25"/>
  <c r="W38" i="18"/>
  <c r="Z38" i="18" s="1"/>
  <c r="V37" i="18"/>
  <c r="Y37" i="18" s="1"/>
  <c r="W37" i="18"/>
  <c r="Z37" i="18" s="1"/>
  <c r="V38" i="18"/>
  <c r="Y38" i="18" s="1"/>
  <c r="AN37" i="45"/>
  <c r="AQ37" i="45" s="1"/>
  <c r="AM38" i="45"/>
  <c r="AP38" i="45" s="1"/>
  <c r="AN38" i="45"/>
  <c r="AQ38" i="45" s="1"/>
  <c r="AM37" i="45"/>
  <c r="AP37" i="45" s="1"/>
  <c r="T64" i="24"/>
  <c r="V64" i="24" s="1"/>
  <c r="T63" i="24"/>
  <c r="V63" i="24" s="1"/>
  <c r="T62" i="24"/>
  <c r="V62" i="24" s="1"/>
  <c r="AD132" i="27"/>
  <c r="AF132" i="27" s="1"/>
  <c r="AD124" i="27"/>
  <c r="AF124" i="27" s="1"/>
  <c r="AD123" i="27"/>
  <c r="AF123" i="27" s="1"/>
  <c r="AD117" i="27"/>
  <c r="AF117" i="27" s="1"/>
  <c r="AD115" i="27"/>
  <c r="AF115" i="27" s="1"/>
  <c r="AD127" i="27"/>
  <c r="AF127" i="27" s="1"/>
  <c r="AD129" i="27"/>
  <c r="AF129" i="27" s="1"/>
  <c r="AD112" i="27"/>
  <c r="AF112" i="27" s="1"/>
  <c r="AD118" i="27"/>
  <c r="AF118" i="27" s="1"/>
  <c r="AD119" i="27"/>
  <c r="AF119" i="27" s="1"/>
  <c r="AD116" i="27"/>
  <c r="AF116" i="27" s="1"/>
  <c r="AD128" i="27"/>
  <c r="AF128" i="27" s="1"/>
  <c r="AD122" i="27"/>
  <c r="AF122" i="27" s="1"/>
  <c r="AD114" i="27"/>
  <c r="AF114" i="27" s="1"/>
  <c r="AD121" i="27"/>
  <c r="AF121" i="27" s="1"/>
  <c r="AD120" i="27"/>
  <c r="AF120" i="27" s="1"/>
  <c r="AD131" i="27"/>
  <c r="AF131" i="27" s="1"/>
  <c r="AD133" i="27"/>
  <c r="AF133" i="27" s="1"/>
  <c r="AD113" i="27"/>
  <c r="AF113" i="27" s="1"/>
  <c r="AD125" i="27"/>
  <c r="AF125" i="27" s="1"/>
  <c r="AE42" i="18"/>
  <c r="AH42" i="18" s="1"/>
  <c r="AD43" i="18"/>
  <c r="AG43" i="18" s="1"/>
  <c r="AE43" i="18"/>
  <c r="AH43" i="18" s="1"/>
  <c r="AD42" i="18"/>
  <c r="AG42" i="18" s="1"/>
  <c r="AE133" i="27"/>
  <c r="AG133" i="27" s="1"/>
  <c r="AE123" i="27"/>
  <c r="AG123" i="27" s="1"/>
  <c r="AE119" i="27"/>
  <c r="AG119" i="27" s="1"/>
  <c r="AE115" i="27"/>
  <c r="AG115" i="27" s="1"/>
  <c r="AE128" i="27"/>
  <c r="AG128" i="27" s="1"/>
  <c r="AE122" i="27"/>
  <c r="AG122" i="27" s="1"/>
  <c r="AE117" i="27"/>
  <c r="AG117" i="27" s="1"/>
  <c r="AE127" i="27"/>
  <c r="AG127" i="27" s="1"/>
  <c r="AE125" i="27"/>
  <c r="AG125" i="27" s="1"/>
  <c r="AE118" i="27"/>
  <c r="AG118" i="27" s="1"/>
  <c r="AE129" i="27"/>
  <c r="AG129" i="27" s="1"/>
  <c r="AE124" i="27"/>
  <c r="AG124" i="27" s="1"/>
  <c r="AE116" i="27"/>
  <c r="AG116" i="27" s="1"/>
  <c r="AE131" i="27"/>
  <c r="AG131" i="27" s="1"/>
  <c r="AE112" i="27"/>
  <c r="AG112" i="27" s="1"/>
  <c r="AE113" i="27"/>
  <c r="AG113" i="27" s="1"/>
  <c r="AE121" i="27"/>
  <c r="AG121" i="27" s="1"/>
  <c r="AE132" i="27"/>
  <c r="AG132" i="27" s="1"/>
  <c r="AE114" i="27"/>
  <c r="AG114" i="27" s="1"/>
  <c r="AE120" i="27"/>
  <c r="AG120" i="27" s="1"/>
  <c r="AA18" i="25"/>
  <c r="AA17" i="25"/>
  <c r="AB18" i="25"/>
  <c r="AB17" i="25"/>
  <c r="Y34" i="28"/>
  <c r="AA34" i="28" s="1"/>
  <c r="Y33" i="28"/>
  <c r="AA33" i="28" s="1"/>
  <c r="Y35" i="28"/>
  <c r="AA35" i="28" s="1"/>
  <c r="Y40" i="28"/>
  <c r="AA40" i="28" s="1"/>
  <c r="Y41" i="28"/>
  <c r="AA41" i="28" s="1"/>
  <c r="Y39" i="28"/>
  <c r="AA39" i="28" s="1"/>
  <c r="W23" i="18"/>
  <c r="Z23" i="18" s="1"/>
  <c r="W22" i="18"/>
  <c r="Z22" i="18" s="1"/>
  <c r="V23" i="18"/>
  <c r="Y23" i="18" s="1"/>
  <c r="V22" i="18"/>
  <c r="Y22" i="18" s="1"/>
  <c r="X63" i="27"/>
  <c r="Z63" i="27" s="1"/>
  <c r="X66" i="27"/>
  <c r="Z66" i="27" s="1"/>
  <c r="X70" i="27"/>
  <c r="Z70" i="27" s="1"/>
  <c r="X79" i="27"/>
  <c r="Z79" i="27" s="1"/>
  <c r="X75" i="27"/>
  <c r="Z75" i="27" s="1"/>
  <c r="X64" i="27"/>
  <c r="Z64" i="27" s="1"/>
  <c r="X69" i="27"/>
  <c r="Z69" i="27" s="1"/>
  <c r="X80" i="27"/>
  <c r="Z80" i="27" s="1"/>
  <c r="X62" i="27"/>
  <c r="Z62" i="27" s="1"/>
  <c r="X77" i="27"/>
  <c r="Z77" i="27" s="1"/>
  <c r="X71" i="27"/>
  <c r="Z71" i="27" s="1"/>
  <c r="X76" i="27"/>
  <c r="Z76" i="27" s="1"/>
  <c r="X65" i="27"/>
  <c r="Z65" i="27" s="1"/>
  <c r="X72" i="27"/>
  <c r="Z72" i="27" s="1"/>
  <c r="X61" i="27"/>
  <c r="Z61" i="27" s="1"/>
  <c r="X60" i="27"/>
  <c r="Z60" i="27" s="1"/>
  <c r="X68" i="27"/>
  <c r="Z68" i="27" s="1"/>
  <c r="X81" i="27"/>
  <c r="Z81" i="27" s="1"/>
  <c r="X73" i="27"/>
  <c r="Z73" i="27" s="1"/>
  <c r="X67" i="27"/>
  <c r="Z67" i="27" s="1"/>
  <c r="AB33" i="25"/>
  <c r="AA32" i="25"/>
  <c r="AB32" i="25"/>
  <c r="AA33" i="25"/>
  <c r="AB92" i="23"/>
  <c r="AD92" i="23" s="1"/>
  <c r="AB107" i="23"/>
  <c r="AD107" i="23" s="1"/>
  <c r="AB91" i="23"/>
  <c r="AD91" i="23" s="1"/>
  <c r="AB90" i="23"/>
  <c r="AD90" i="23" s="1"/>
  <c r="AB99" i="23"/>
  <c r="AD99" i="23" s="1"/>
  <c r="AB89" i="23"/>
  <c r="AD89" i="23" s="1"/>
  <c r="AB96" i="23"/>
  <c r="AD96" i="23" s="1"/>
  <c r="AB101" i="23"/>
  <c r="AD101" i="23" s="1"/>
  <c r="AB98" i="23"/>
  <c r="AD98" i="23" s="1"/>
  <c r="AB87" i="23"/>
  <c r="AD87" i="23" s="1"/>
  <c r="AB88" i="23"/>
  <c r="AD88" i="23" s="1"/>
  <c r="AB95" i="23"/>
  <c r="AD95" i="23" s="1"/>
  <c r="AB86" i="23"/>
  <c r="AD86" i="23" s="1"/>
  <c r="AB103" i="23"/>
  <c r="AD103" i="23" s="1"/>
  <c r="AB106" i="23"/>
  <c r="AD106" i="23" s="1"/>
  <c r="AB102" i="23"/>
  <c r="AD102" i="23" s="1"/>
  <c r="AB105" i="23"/>
  <c r="AD105" i="23" s="1"/>
  <c r="AB97" i="23"/>
  <c r="AD97" i="23" s="1"/>
  <c r="AB94" i="23"/>
  <c r="AD94" i="23" s="1"/>
  <c r="AB93" i="23"/>
  <c r="AD93" i="23" s="1"/>
  <c r="AD107" i="27"/>
  <c r="AF107" i="27" s="1"/>
  <c r="AD93" i="27"/>
  <c r="AF93" i="27" s="1"/>
  <c r="AD99" i="27"/>
  <c r="AF99" i="27" s="1"/>
  <c r="AD102" i="27"/>
  <c r="AF102" i="27" s="1"/>
  <c r="AD98" i="27"/>
  <c r="AF98" i="27" s="1"/>
  <c r="AD86" i="27"/>
  <c r="AF86" i="27" s="1"/>
  <c r="AD94" i="27"/>
  <c r="AF94" i="27" s="1"/>
  <c r="AD88" i="27"/>
  <c r="AF88" i="27" s="1"/>
  <c r="AD96" i="27"/>
  <c r="AF96" i="27" s="1"/>
  <c r="AD106" i="27"/>
  <c r="AF106" i="27" s="1"/>
  <c r="AD95" i="27"/>
  <c r="AF95" i="27" s="1"/>
  <c r="AD90" i="27"/>
  <c r="AF90" i="27" s="1"/>
  <c r="AD105" i="27"/>
  <c r="AF105" i="27" s="1"/>
  <c r="AD92" i="27"/>
  <c r="AF92" i="27" s="1"/>
  <c r="AD87" i="27"/>
  <c r="AF87" i="27" s="1"/>
  <c r="AD91" i="27"/>
  <c r="AF91" i="27" s="1"/>
  <c r="AD97" i="27"/>
  <c r="AF97" i="27" s="1"/>
  <c r="AD103" i="27"/>
  <c r="AF103" i="27" s="1"/>
  <c r="AD101" i="27"/>
  <c r="AF101" i="27" s="1"/>
  <c r="AD89" i="27"/>
  <c r="AF89" i="27" s="1"/>
  <c r="AE97" i="17"/>
  <c r="AG97" i="17" s="1"/>
  <c r="AE86" i="17"/>
  <c r="AG86" i="17" s="1"/>
  <c r="AE106" i="17"/>
  <c r="AG106" i="17" s="1"/>
  <c r="AE95" i="17"/>
  <c r="AG95" i="17" s="1"/>
  <c r="AE93" i="17"/>
  <c r="AG93" i="17" s="1"/>
  <c r="AE105" i="17"/>
  <c r="AG105" i="17" s="1"/>
  <c r="AE89" i="17"/>
  <c r="AG89" i="17" s="1"/>
  <c r="AE102" i="17"/>
  <c r="AG102" i="17" s="1"/>
  <c r="AE88" i="17"/>
  <c r="AG88" i="17" s="1"/>
  <c r="AE107" i="17"/>
  <c r="AG107" i="17" s="1"/>
  <c r="AE91" i="17"/>
  <c r="AG91" i="17" s="1"/>
  <c r="AE94" i="17"/>
  <c r="AG94" i="17" s="1"/>
  <c r="AE98" i="17"/>
  <c r="AG98" i="17" s="1"/>
  <c r="AE101" i="17"/>
  <c r="AG101" i="17" s="1"/>
  <c r="AE90" i="17"/>
  <c r="AG90" i="17" s="1"/>
  <c r="AE87" i="17"/>
  <c r="AG87" i="17" s="1"/>
  <c r="AE99" i="17"/>
  <c r="AG99" i="17" s="1"/>
  <c r="AE96" i="17"/>
  <c r="AG96" i="17" s="1"/>
  <c r="AE92" i="17"/>
  <c r="AG92" i="17" s="1"/>
  <c r="AE103" i="17"/>
  <c r="AG103" i="17" s="1"/>
  <c r="AA91" i="23"/>
  <c r="AC91" i="23" s="1"/>
  <c r="AA92" i="23"/>
  <c r="AC92" i="23" s="1"/>
  <c r="AA86" i="23"/>
  <c r="AC86" i="23" s="1"/>
  <c r="AA95" i="23"/>
  <c r="AC95" i="23" s="1"/>
  <c r="AA88" i="23"/>
  <c r="AC88" i="23" s="1"/>
  <c r="AA103" i="23"/>
  <c r="AC103" i="23" s="1"/>
  <c r="AA87" i="23"/>
  <c r="AC87" i="23" s="1"/>
  <c r="AA102" i="23"/>
  <c r="AC102" i="23" s="1"/>
  <c r="AA98" i="23"/>
  <c r="AC98" i="23" s="1"/>
  <c r="AA93" i="23"/>
  <c r="AC93" i="23" s="1"/>
  <c r="AA96" i="23"/>
  <c r="AC96" i="23" s="1"/>
  <c r="AA99" i="23"/>
  <c r="AC99" i="23" s="1"/>
  <c r="AA106" i="23"/>
  <c r="AC106" i="23" s="1"/>
  <c r="AA89" i="23"/>
  <c r="AC89" i="23" s="1"/>
  <c r="AA94" i="23"/>
  <c r="AC94" i="23" s="1"/>
  <c r="AA107" i="23"/>
  <c r="AC107" i="23" s="1"/>
  <c r="AA97" i="23"/>
  <c r="AC97" i="23" s="1"/>
  <c r="AA105" i="23"/>
  <c r="AC105" i="23" s="1"/>
  <c r="AA101" i="23"/>
  <c r="AC101" i="23" s="1"/>
  <c r="AA90" i="23"/>
  <c r="AC90" i="23" s="1"/>
  <c r="AF37" i="45"/>
  <c r="AI37" i="45" s="1"/>
  <c r="AE38" i="45"/>
  <c r="AH38" i="45" s="1"/>
  <c r="AF38" i="45"/>
  <c r="AI38" i="45" s="1"/>
  <c r="AE37" i="45"/>
  <c r="AH37" i="45" s="1"/>
  <c r="Y128" i="17"/>
  <c r="AA128" i="17" s="1"/>
  <c r="Y113" i="17"/>
  <c r="AA113" i="17" s="1"/>
  <c r="Y117" i="17"/>
  <c r="AA117" i="17" s="1"/>
  <c r="Y125" i="17"/>
  <c r="AA125" i="17" s="1"/>
  <c r="Y121" i="17"/>
  <c r="AA121" i="17" s="1"/>
  <c r="Y123" i="17"/>
  <c r="AA123" i="17" s="1"/>
  <c r="Y127" i="17"/>
  <c r="AA127" i="17" s="1"/>
  <c r="Y120" i="17"/>
  <c r="AA120" i="17" s="1"/>
  <c r="Y132" i="17"/>
  <c r="AA132" i="17" s="1"/>
  <c r="Y119" i="17"/>
  <c r="AA119" i="17" s="1"/>
  <c r="Y114" i="17"/>
  <c r="AA114" i="17" s="1"/>
  <c r="Y122" i="17"/>
  <c r="AA122" i="17" s="1"/>
  <c r="Y131" i="17"/>
  <c r="AA131" i="17" s="1"/>
  <c r="Y115" i="17"/>
  <c r="AA115" i="17" s="1"/>
  <c r="Y124" i="17"/>
  <c r="AA124" i="17" s="1"/>
  <c r="Y116" i="17"/>
  <c r="AA116" i="17" s="1"/>
  <c r="Y129" i="17"/>
  <c r="AA129" i="17" s="1"/>
  <c r="Y112" i="17"/>
  <c r="AA112" i="17" s="1"/>
  <c r="Y133" i="17"/>
  <c r="AA133" i="17" s="1"/>
  <c r="Y118" i="17"/>
  <c r="AA118" i="17" s="1"/>
  <c r="Y115" i="27"/>
  <c r="AA115" i="27" s="1"/>
  <c r="Y122" i="27"/>
  <c r="AA122" i="27" s="1"/>
  <c r="Y125" i="27"/>
  <c r="AA125" i="27" s="1"/>
  <c r="Y131" i="27"/>
  <c r="AA131" i="27" s="1"/>
  <c r="Y127" i="27"/>
  <c r="AA127" i="27" s="1"/>
  <c r="Y123" i="27"/>
  <c r="AA123" i="27" s="1"/>
  <c r="Y112" i="27"/>
  <c r="AA112" i="27" s="1"/>
  <c r="Y121" i="27"/>
  <c r="AA121" i="27" s="1"/>
  <c r="Y120" i="27"/>
  <c r="AA120" i="27" s="1"/>
  <c r="Y128" i="27"/>
  <c r="AA128" i="27" s="1"/>
  <c r="Y117" i="27"/>
  <c r="AA117" i="27" s="1"/>
  <c r="Y132" i="27"/>
  <c r="AA132" i="27" s="1"/>
  <c r="Y133" i="27"/>
  <c r="AA133" i="27" s="1"/>
  <c r="Y118" i="27"/>
  <c r="AA118" i="27" s="1"/>
  <c r="Y113" i="27"/>
  <c r="AA113" i="27" s="1"/>
  <c r="Y129" i="27"/>
  <c r="AA129" i="27" s="1"/>
  <c r="Y119" i="27"/>
  <c r="AA119" i="27" s="1"/>
  <c r="Y124" i="27"/>
  <c r="AA124" i="27" s="1"/>
  <c r="Y114" i="27"/>
  <c r="AA114" i="27" s="1"/>
  <c r="Y116" i="27"/>
  <c r="AA116" i="27" s="1"/>
  <c r="AE18" i="45"/>
  <c r="AH18" i="45" s="1"/>
  <c r="AE17" i="45"/>
  <c r="AH17" i="45" s="1"/>
  <c r="AF18" i="45"/>
  <c r="AI18" i="45" s="1"/>
  <c r="AF17" i="45"/>
  <c r="AI17" i="45" s="1"/>
  <c r="V79" i="23"/>
  <c r="X79" i="23" s="1"/>
  <c r="V67" i="23"/>
  <c r="X67" i="23" s="1"/>
  <c r="V73" i="23"/>
  <c r="X73" i="23" s="1"/>
  <c r="V80" i="23"/>
  <c r="X80" i="23" s="1"/>
  <c r="V62" i="23"/>
  <c r="X62" i="23" s="1"/>
  <c r="V61" i="23"/>
  <c r="X61" i="23" s="1"/>
  <c r="V64" i="23"/>
  <c r="X64" i="23" s="1"/>
  <c r="V60" i="23"/>
  <c r="X60" i="23" s="1"/>
  <c r="V75" i="23"/>
  <c r="X75" i="23" s="1"/>
  <c r="V65" i="23"/>
  <c r="X65" i="23" s="1"/>
  <c r="V70" i="23"/>
  <c r="X70" i="23" s="1"/>
  <c r="V77" i="23"/>
  <c r="X77" i="23" s="1"/>
  <c r="V63" i="23"/>
  <c r="X63" i="23" s="1"/>
  <c r="V66" i="23"/>
  <c r="X66" i="23" s="1"/>
  <c r="V72" i="23"/>
  <c r="X72" i="23" s="1"/>
  <c r="V71" i="23"/>
  <c r="X71" i="23" s="1"/>
  <c r="V76" i="23"/>
  <c r="X76" i="23" s="1"/>
  <c r="V68" i="23"/>
  <c r="X68" i="23" s="1"/>
  <c r="V81" i="23"/>
  <c r="X81" i="23" s="1"/>
  <c r="V69" i="23"/>
  <c r="X69" i="23" s="1"/>
  <c r="X40" i="28"/>
  <c r="Z40" i="28" s="1"/>
  <c r="X41" i="28"/>
  <c r="Z41" i="28" s="1"/>
  <c r="X35" i="28"/>
  <c r="Z35" i="28" s="1"/>
  <c r="X34" i="28"/>
  <c r="Z34" i="28" s="1"/>
  <c r="X39" i="28"/>
  <c r="Z39" i="28" s="1"/>
  <c r="X33" i="28"/>
  <c r="Z33" i="28" s="1"/>
  <c r="AN32" i="45"/>
  <c r="AQ32" i="45" s="1"/>
  <c r="AN33" i="45"/>
  <c r="AQ33" i="45" s="1"/>
  <c r="AM32" i="45"/>
  <c r="AP32" i="45" s="1"/>
  <c r="AM33" i="45"/>
  <c r="AP33" i="45" s="1"/>
  <c r="X67" i="28"/>
  <c r="Z67" i="28" s="1"/>
  <c r="X65" i="28"/>
  <c r="Z65" i="28" s="1"/>
  <c r="X59" i="28"/>
  <c r="Z59" i="28" s="1"/>
  <c r="X61" i="28"/>
  <c r="Z61" i="28" s="1"/>
  <c r="X66" i="28"/>
  <c r="Z66" i="28" s="1"/>
  <c r="X60" i="28"/>
  <c r="Z60" i="28" s="1"/>
  <c r="Y59" i="28"/>
  <c r="AA59" i="28" s="1"/>
  <c r="Y60" i="28"/>
  <c r="AA60" i="28" s="1"/>
  <c r="Y65" i="28"/>
  <c r="AA65" i="28" s="1"/>
  <c r="Y66" i="28"/>
  <c r="AA66" i="28" s="1"/>
  <c r="Y67" i="28"/>
  <c r="AA67" i="28" s="1"/>
  <c r="Y61" i="28"/>
  <c r="AA61" i="28" s="1"/>
  <c r="AF42" i="45"/>
  <c r="AI42" i="45" s="1"/>
  <c r="AE42" i="45"/>
  <c r="AH42" i="45" s="1"/>
  <c r="AE43" i="45"/>
  <c r="AH43" i="45" s="1"/>
  <c r="AF43" i="45"/>
  <c r="AI43" i="45" s="1"/>
  <c r="X64" i="10"/>
  <c r="Z64" i="10" s="1"/>
  <c r="Y57" i="10"/>
  <c r="AA57" i="10" s="1"/>
  <c r="X57" i="10"/>
  <c r="Z57" i="10" s="1"/>
  <c r="Y63" i="10"/>
  <c r="AA63" i="10" s="1"/>
  <c r="X62" i="10"/>
  <c r="Z62" i="10" s="1"/>
  <c r="Y64" i="10"/>
  <c r="AA64" i="10" s="1"/>
  <c r="X58" i="10"/>
  <c r="Z58" i="10" s="1"/>
  <c r="Y56" i="10"/>
  <c r="AA56" i="10" s="1"/>
  <c r="X56" i="10"/>
  <c r="Z56" i="10" s="1"/>
  <c r="Y62" i="10"/>
  <c r="AA62" i="10" s="1"/>
  <c r="Y58" i="10"/>
  <c r="AA58" i="10" s="1"/>
  <c r="X63" i="10"/>
  <c r="Z63" i="10" s="1"/>
  <c r="AE61" i="28"/>
  <c r="AG61" i="28" s="1"/>
  <c r="AE60" i="28"/>
  <c r="AG60" i="28" s="1"/>
  <c r="AE59" i="28"/>
  <c r="AG59" i="28" s="1"/>
  <c r="AE65" i="28"/>
  <c r="AG65" i="28" s="1"/>
  <c r="AE66" i="28"/>
  <c r="AG66" i="28" s="1"/>
  <c r="AE67" i="28"/>
  <c r="AG67" i="28" s="1"/>
  <c r="AA42" i="25"/>
  <c r="AA43" i="25"/>
  <c r="AB42" i="25"/>
  <c r="AB43" i="25"/>
  <c r="AD59" i="28"/>
  <c r="AF59" i="28" s="1"/>
  <c r="AD65" i="28"/>
  <c r="AF65" i="28" s="1"/>
  <c r="AD66" i="28"/>
  <c r="AF66" i="28" s="1"/>
  <c r="AD61" i="28"/>
  <c r="AF61" i="28" s="1"/>
  <c r="AD67" i="28"/>
  <c r="AF67" i="28" s="1"/>
  <c r="AD60" i="28"/>
  <c r="AF60" i="28" s="1"/>
  <c r="Y80" i="27"/>
  <c r="AA80" i="27" s="1"/>
  <c r="Y61" i="27"/>
  <c r="AA61" i="27" s="1"/>
  <c r="Y65" i="27"/>
  <c r="AA65" i="27" s="1"/>
  <c r="Y69" i="27"/>
  <c r="AA69" i="27" s="1"/>
  <c r="Y73" i="27"/>
  <c r="AA73" i="27" s="1"/>
  <c r="Y76" i="27"/>
  <c r="AA76" i="27" s="1"/>
  <c r="Y64" i="27"/>
  <c r="AA64" i="27" s="1"/>
  <c r="Y70" i="27"/>
  <c r="AA70" i="27" s="1"/>
  <c r="Y79" i="27"/>
  <c r="AA79" i="27" s="1"/>
  <c r="Y75" i="27"/>
  <c r="AA75" i="27" s="1"/>
  <c r="Y67" i="27"/>
  <c r="AA67" i="27" s="1"/>
  <c r="Y60" i="27"/>
  <c r="AA60" i="27" s="1"/>
  <c r="Y62" i="27"/>
  <c r="AA62" i="27" s="1"/>
  <c r="Y68" i="27"/>
  <c r="AA68" i="27" s="1"/>
  <c r="Y63" i="27"/>
  <c r="AA63" i="27" s="1"/>
  <c r="Y81" i="27"/>
  <c r="AA81" i="27" s="1"/>
  <c r="Y72" i="27"/>
  <c r="AA72" i="27" s="1"/>
  <c r="Y77" i="27"/>
  <c r="AA77" i="27" s="1"/>
  <c r="Y71" i="27"/>
  <c r="AA71" i="27" s="1"/>
  <c r="Y66" i="27"/>
  <c r="AA66" i="27" s="1"/>
  <c r="Y39" i="10"/>
  <c r="AA39" i="10" s="1"/>
  <c r="Y33" i="10"/>
  <c r="AA33" i="10" s="1"/>
  <c r="Y34" i="10"/>
  <c r="AA34" i="10" s="1"/>
  <c r="X40" i="10"/>
  <c r="Z40" i="10" s="1"/>
  <c r="X34" i="10"/>
  <c r="Z34" i="10" s="1"/>
  <c r="X38" i="10"/>
  <c r="Z38" i="10" s="1"/>
  <c r="X32" i="10"/>
  <c r="Z32" i="10" s="1"/>
  <c r="Y40" i="10"/>
  <c r="AA40" i="10" s="1"/>
  <c r="Y32" i="10"/>
  <c r="AA32" i="10" s="1"/>
  <c r="X39" i="10"/>
  <c r="Z39" i="10" s="1"/>
  <c r="Y38" i="10"/>
  <c r="AA38" i="10" s="1"/>
  <c r="X33" i="10"/>
  <c r="Z33" i="10" s="1"/>
  <c r="Y73" i="17"/>
  <c r="AA73" i="17" s="1"/>
  <c r="Y72" i="17"/>
  <c r="AA72" i="17" s="1"/>
  <c r="Y63" i="17"/>
  <c r="AA63" i="17" s="1"/>
  <c r="Y62" i="17"/>
  <c r="AA62" i="17" s="1"/>
  <c r="Y66" i="17"/>
  <c r="AA66" i="17" s="1"/>
  <c r="Y71" i="17"/>
  <c r="AA71" i="17" s="1"/>
  <c r="Y77" i="17"/>
  <c r="AA77" i="17" s="1"/>
  <c r="Y64" i="17"/>
  <c r="AA64" i="17" s="1"/>
  <c r="Y69" i="17"/>
  <c r="AA69" i="17" s="1"/>
  <c r="Y65" i="17"/>
  <c r="AA65" i="17" s="1"/>
  <c r="Y60" i="17"/>
  <c r="AA60" i="17" s="1"/>
  <c r="Y79" i="17"/>
  <c r="AA79" i="17" s="1"/>
  <c r="Y68" i="17"/>
  <c r="AA68" i="17" s="1"/>
  <c r="Y61" i="17"/>
  <c r="AA61" i="17" s="1"/>
  <c r="Y70" i="17"/>
  <c r="AA70" i="17" s="1"/>
  <c r="Y76" i="17"/>
  <c r="AA76" i="17" s="1"/>
  <c r="Y67" i="17"/>
  <c r="AA67" i="17" s="1"/>
  <c r="Y80" i="17"/>
  <c r="AA80" i="17" s="1"/>
  <c r="Y75" i="17"/>
  <c r="AA75" i="17" s="1"/>
  <c r="Y81" i="17"/>
  <c r="AA81" i="17" s="1"/>
  <c r="U68" i="23"/>
  <c r="W68" i="23" s="1"/>
  <c r="U77" i="23"/>
  <c r="W77" i="23" s="1"/>
  <c r="U76" i="23"/>
  <c r="W76" i="23" s="1"/>
  <c r="U63" i="23"/>
  <c r="W63" i="23" s="1"/>
  <c r="U69" i="23"/>
  <c r="W69" i="23" s="1"/>
  <c r="U71" i="23"/>
  <c r="W71" i="23" s="1"/>
  <c r="U62" i="23"/>
  <c r="W62" i="23" s="1"/>
  <c r="U61" i="23"/>
  <c r="W61" i="23" s="1"/>
  <c r="U75" i="23"/>
  <c r="W75" i="23" s="1"/>
  <c r="U70" i="23"/>
  <c r="W70" i="23" s="1"/>
  <c r="U65" i="23"/>
  <c r="W65" i="23" s="1"/>
  <c r="U79" i="23"/>
  <c r="W79" i="23" s="1"/>
  <c r="U72" i="23"/>
  <c r="W72" i="23" s="1"/>
  <c r="U73" i="23"/>
  <c r="W73" i="23" s="1"/>
  <c r="U81" i="23"/>
  <c r="W81" i="23" s="1"/>
  <c r="U80" i="23"/>
  <c r="W80" i="23" s="1"/>
  <c r="U66" i="23"/>
  <c r="W66" i="23" s="1"/>
  <c r="U67" i="23"/>
  <c r="W67" i="23" s="1"/>
  <c r="U60" i="23"/>
  <c r="W60" i="23" s="1"/>
  <c r="U64" i="23"/>
  <c r="W64" i="23" s="1"/>
  <c r="AE28" i="18"/>
  <c r="AH28" i="18" s="1"/>
  <c r="AD27" i="18"/>
  <c r="AG27" i="18" s="1"/>
  <c r="AD28" i="18"/>
  <c r="AG28" i="18" s="1"/>
  <c r="AE27" i="18"/>
  <c r="AH27" i="18" s="1"/>
  <c r="AD32" i="18"/>
  <c r="AG32" i="18" s="1"/>
  <c r="AD33" i="18"/>
  <c r="AG33" i="18" s="1"/>
  <c r="AE33" i="18"/>
  <c r="AH33" i="18" s="1"/>
  <c r="AE32" i="18"/>
  <c r="AH32" i="18" s="1"/>
  <c r="AE86" i="27"/>
  <c r="AG86" i="27" s="1"/>
  <c r="AE93" i="27"/>
  <c r="AG93" i="27" s="1"/>
  <c r="AE90" i="27"/>
  <c r="AG90" i="27" s="1"/>
  <c r="AE107" i="27"/>
  <c r="AG107" i="27" s="1"/>
  <c r="AE96" i="27"/>
  <c r="AG96" i="27" s="1"/>
  <c r="AE97" i="27"/>
  <c r="AG97" i="27" s="1"/>
  <c r="AE105" i="27"/>
  <c r="AG105" i="27" s="1"/>
  <c r="AE94" i="27"/>
  <c r="AG94" i="27" s="1"/>
  <c r="AE102" i="27"/>
  <c r="AG102" i="27" s="1"/>
  <c r="AE95" i="27"/>
  <c r="AG95" i="27" s="1"/>
  <c r="AE87" i="27"/>
  <c r="AG87" i="27" s="1"/>
  <c r="AE103" i="27"/>
  <c r="AG103" i="27" s="1"/>
  <c r="AE91" i="27"/>
  <c r="AG91" i="27" s="1"/>
  <c r="AE101" i="27"/>
  <c r="AG101" i="27" s="1"/>
  <c r="AE98" i="27"/>
  <c r="AG98" i="27" s="1"/>
  <c r="AE106" i="27"/>
  <c r="AG106" i="27" s="1"/>
  <c r="AE89" i="27"/>
  <c r="AG89" i="27" s="1"/>
  <c r="AE88" i="27"/>
  <c r="AG88" i="27" s="1"/>
  <c r="AE99" i="27"/>
  <c r="AG99" i="27" s="1"/>
  <c r="AE92" i="27"/>
  <c r="AG92" i="27" s="1"/>
  <c r="AE48" i="28"/>
  <c r="AG48" i="28" s="1"/>
  <c r="AE54" i="28"/>
  <c r="AG54" i="28" s="1"/>
  <c r="AE47" i="28"/>
  <c r="AG47" i="28" s="1"/>
  <c r="AE46" i="28"/>
  <c r="AG46" i="28" s="1"/>
  <c r="AE53" i="28"/>
  <c r="AG53" i="28" s="1"/>
  <c r="AE52" i="28"/>
  <c r="AG52" i="28" s="1"/>
  <c r="V68" i="13"/>
  <c r="Y68" i="13" s="1"/>
  <c r="W70" i="13"/>
  <c r="Z70" i="13" s="1"/>
  <c r="V74" i="13"/>
  <c r="Y74" i="13" s="1"/>
  <c r="V67" i="13"/>
  <c r="Y67" i="13" s="1"/>
  <c r="V69" i="13"/>
  <c r="Y69" i="13" s="1"/>
  <c r="V71" i="13"/>
  <c r="Y71" i="13" s="1"/>
  <c r="V73" i="13"/>
  <c r="Y73" i="13" s="1"/>
  <c r="V75" i="13"/>
  <c r="Y75" i="13" s="1"/>
  <c r="W72" i="13"/>
  <c r="Z72" i="13" s="1"/>
  <c r="V70" i="13"/>
  <c r="Y70" i="13" s="1"/>
  <c r="V72" i="13"/>
  <c r="Y72" i="13" s="1"/>
  <c r="W74" i="13"/>
  <c r="Z74" i="13" s="1"/>
  <c r="W67" i="13"/>
  <c r="Z67" i="13" s="1"/>
  <c r="W69" i="13"/>
  <c r="Z69" i="13" s="1"/>
  <c r="W71" i="13"/>
  <c r="Z71" i="13" s="1"/>
  <c r="W73" i="13"/>
  <c r="Z73" i="13" s="1"/>
  <c r="W75" i="13"/>
  <c r="Z75" i="13" s="1"/>
  <c r="W68" i="13"/>
  <c r="Z68" i="13" s="1"/>
  <c r="AB24" i="12"/>
  <c r="AE24" i="12" s="1"/>
  <c r="AB21" i="12"/>
  <c r="AE21" i="12" s="1"/>
  <c r="AB23" i="12"/>
  <c r="AE23" i="12" s="1"/>
  <c r="AC24" i="12"/>
  <c r="AF24" i="12" s="1"/>
  <c r="AC22" i="12"/>
  <c r="AF22" i="12" s="1"/>
  <c r="AB22" i="12"/>
  <c r="AE22" i="12" s="1"/>
  <c r="AC21" i="12"/>
  <c r="AF21" i="12" s="1"/>
  <c r="AC23" i="12"/>
  <c r="AF23" i="12" s="1"/>
  <c r="U44" i="24"/>
  <c r="W44" i="24" s="1"/>
  <c r="U46" i="24"/>
  <c r="W46" i="24" s="1"/>
  <c r="U45" i="24"/>
  <c r="W45" i="24" s="1"/>
  <c r="U93" i="22"/>
  <c r="W93" i="22" s="1"/>
  <c r="U102" i="22"/>
  <c r="W102" i="22" s="1"/>
  <c r="U90" i="22"/>
  <c r="W90" i="22" s="1"/>
  <c r="U107" i="22"/>
  <c r="W107" i="22" s="1"/>
  <c r="U87" i="22"/>
  <c r="W87" i="22" s="1"/>
  <c r="U99" i="22"/>
  <c r="W99" i="22" s="1"/>
  <c r="U94" i="22"/>
  <c r="W94" i="22" s="1"/>
  <c r="U103" i="22"/>
  <c r="W103" i="22" s="1"/>
  <c r="U89" i="22"/>
  <c r="W89" i="22" s="1"/>
  <c r="U98" i="22"/>
  <c r="W98" i="22" s="1"/>
  <c r="U106" i="22"/>
  <c r="W106" i="22" s="1"/>
  <c r="U88" i="22"/>
  <c r="W88" i="22" s="1"/>
  <c r="U86" i="22"/>
  <c r="W86" i="22" s="1"/>
  <c r="U92" i="22"/>
  <c r="W92" i="22" s="1"/>
  <c r="U105" i="22"/>
  <c r="W105" i="22" s="1"/>
  <c r="U96" i="22"/>
  <c r="W96" i="22" s="1"/>
  <c r="U97" i="22"/>
  <c r="W97" i="22" s="1"/>
  <c r="U101" i="22"/>
  <c r="W101" i="22" s="1"/>
  <c r="U95" i="22"/>
  <c r="W95" i="22" s="1"/>
  <c r="U91" i="22"/>
  <c r="W91" i="22" s="1"/>
  <c r="T45" i="24"/>
  <c r="V45" i="24" s="1"/>
  <c r="T46" i="24"/>
  <c r="V46" i="24" s="1"/>
  <c r="T44" i="24"/>
  <c r="V44" i="24" s="1"/>
  <c r="T93" i="22"/>
  <c r="V93" i="22" s="1"/>
  <c r="T92" i="22"/>
  <c r="V92" i="22" s="1"/>
  <c r="T88" i="22"/>
  <c r="V88" i="22" s="1"/>
  <c r="T95" i="22"/>
  <c r="V95" i="22" s="1"/>
  <c r="T107" i="22"/>
  <c r="V107" i="22" s="1"/>
  <c r="T87" i="22"/>
  <c r="V87" i="22" s="1"/>
  <c r="T91" i="22"/>
  <c r="V91" i="22" s="1"/>
  <c r="T98" i="22"/>
  <c r="V98" i="22" s="1"/>
  <c r="T99" i="22"/>
  <c r="V99" i="22" s="1"/>
  <c r="T102" i="22"/>
  <c r="V102" i="22" s="1"/>
  <c r="T90" i="22"/>
  <c r="V90" i="22" s="1"/>
  <c r="T94" i="22"/>
  <c r="V94" i="22" s="1"/>
  <c r="T106" i="22"/>
  <c r="V106" i="22" s="1"/>
  <c r="T96" i="22"/>
  <c r="V96" i="22" s="1"/>
  <c r="T97" i="22"/>
  <c r="V97" i="22" s="1"/>
  <c r="T103" i="22"/>
  <c r="V103" i="22" s="1"/>
  <c r="T101" i="22"/>
  <c r="V101" i="22" s="1"/>
  <c r="T105" i="22"/>
  <c r="V105" i="22" s="1"/>
  <c r="T86" i="22"/>
  <c r="V86" i="22" s="1"/>
  <c r="T89" i="22"/>
  <c r="V89" i="22" s="1"/>
  <c r="AC31" i="12"/>
  <c r="AF31" i="12" s="1"/>
  <c r="AC29" i="12"/>
  <c r="AF29" i="12" s="1"/>
  <c r="AB28" i="12"/>
  <c r="AE28" i="12" s="1"/>
  <c r="AC30" i="12"/>
  <c r="AF30" i="12" s="1"/>
  <c r="AB31" i="12"/>
  <c r="AE31" i="12" s="1"/>
  <c r="AB29" i="12"/>
  <c r="AE29" i="12" s="1"/>
  <c r="AC28" i="12"/>
  <c r="AF28" i="12" s="1"/>
  <c r="AB30" i="12"/>
  <c r="AE30" i="12" s="1"/>
  <c r="AG68" i="22"/>
  <c r="AO14" i="12"/>
  <c r="BA84" i="46"/>
  <c r="Z18" i="27"/>
  <c r="AL23" i="25"/>
  <c r="AN55" i="29"/>
  <c r="AN68" i="29"/>
  <c r="AG87" i="22"/>
  <c r="AS106" i="27"/>
  <c r="AT20" i="28"/>
  <c r="AT66" i="28"/>
  <c r="AT102" i="27"/>
  <c r="AT119" i="27"/>
  <c r="Z17" i="17"/>
  <c r="AS57" i="19"/>
  <c r="AP17" i="12"/>
  <c r="AA26" i="24"/>
  <c r="AM39" i="29"/>
  <c r="Z7" i="22"/>
  <c r="AY13" i="45"/>
  <c r="AS62" i="27"/>
  <c r="AN46" i="29"/>
  <c r="AN35" i="29"/>
  <c r="AJ37" i="29"/>
  <c r="BB98" i="46"/>
  <c r="AN76" i="23"/>
  <c r="AT99" i="27"/>
  <c r="A32" i="25"/>
  <c r="AM67" i="13"/>
  <c r="AS46" i="28"/>
  <c r="AR96" i="19"/>
  <c r="AL8" i="25"/>
  <c r="AO35" i="23"/>
  <c r="BB10" i="46"/>
  <c r="AS39" i="27"/>
  <c r="AN27" i="10"/>
  <c r="AS53" i="27"/>
  <c r="BB94" i="46"/>
  <c r="AT96" i="17"/>
  <c r="AU99" i="17"/>
  <c r="AO112" i="23"/>
  <c r="AJ70" i="29"/>
  <c r="AO37" i="23"/>
  <c r="AS98" i="27"/>
  <c r="BA57" i="46"/>
  <c r="AN82" i="29"/>
  <c r="AS81" i="19"/>
  <c r="A43" i="25"/>
  <c r="AM55" i="13"/>
  <c r="A13" i="25"/>
  <c r="BA27" i="46"/>
  <c r="AU88" i="17"/>
  <c r="AT72" i="27"/>
  <c r="AK45" i="27"/>
  <c r="Z11" i="22"/>
  <c r="Z11" i="27"/>
  <c r="AH51" i="23"/>
  <c r="AO18" i="25"/>
  <c r="AS41" i="28"/>
  <c r="AT117" i="27"/>
  <c r="AT51" i="27"/>
  <c r="AO43" i="23"/>
  <c r="AT67" i="17"/>
  <c r="AT124" i="17"/>
  <c r="AL46" i="17"/>
  <c r="AO40" i="23"/>
  <c r="AH43" i="23"/>
  <c r="AL12" i="25"/>
  <c r="BB37" i="46"/>
  <c r="AM38" i="29"/>
  <c r="AL31" i="12"/>
  <c r="AT122" i="17"/>
  <c r="V53" i="29"/>
  <c r="Y15" i="16"/>
  <c r="AT45" i="46"/>
  <c r="BB38" i="46"/>
  <c r="AT71" i="27"/>
  <c r="AN49" i="13"/>
  <c r="AN51" i="13"/>
  <c r="AU72" i="17"/>
  <c r="BB32" i="46"/>
  <c r="AG105" i="22"/>
  <c r="AR31" i="19"/>
  <c r="AS91" i="19"/>
  <c r="AT48" i="46"/>
  <c r="AA13" i="24"/>
  <c r="AJ49" i="29"/>
  <c r="BF8" i="45"/>
  <c r="AS24" i="19"/>
  <c r="AJ35" i="29"/>
  <c r="AR45" i="19"/>
  <c r="AA36" i="22"/>
  <c r="BF17" i="45"/>
  <c r="AL36" i="17"/>
  <c r="AT22" i="28"/>
  <c r="AM8" i="13"/>
  <c r="AA54" i="22"/>
  <c r="AN10" i="13"/>
  <c r="B12" i="25"/>
  <c r="AA10" i="10"/>
  <c r="AG60" i="22"/>
  <c r="AT47" i="27"/>
  <c r="AV27" i="18"/>
  <c r="AP14" i="12"/>
  <c r="Y6" i="16"/>
  <c r="AB89" i="29"/>
  <c r="AN25" i="13"/>
  <c r="AK42" i="27"/>
  <c r="AN29" i="38"/>
  <c r="AS42" i="27"/>
  <c r="AG112" i="22"/>
  <c r="AS15" i="19"/>
  <c r="AS26" i="28"/>
  <c r="AG21" i="24"/>
  <c r="AN21" i="29"/>
  <c r="AJ97" i="13"/>
  <c r="AS61" i="28"/>
  <c r="BB46" i="46"/>
  <c r="Z10" i="28"/>
  <c r="B8" i="25"/>
  <c r="AS102" i="27"/>
  <c r="BA46" i="46"/>
  <c r="BB91" i="46"/>
  <c r="AJ86" i="13"/>
  <c r="AN61" i="13"/>
  <c r="AS44" i="27"/>
  <c r="AK55" i="27"/>
  <c r="BB96" i="46"/>
  <c r="AN97" i="13"/>
  <c r="AP30" i="12"/>
  <c r="AR99" i="19"/>
  <c r="AS35" i="27"/>
  <c r="AJ38" i="29"/>
  <c r="AF28" i="10"/>
  <c r="AU121" i="17"/>
  <c r="AN90" i="23"/>
  <c r="AN10" i="29"/>
  <c r="AN81" i="13"/>
  <c r="AS93" i="27"/>
  <c r="AG27" i="24"/>
  <c r="Z14" i="38"/>
  <c r="AT101" i="17"/>
  <c r="V78" i="29"/>
  <c r="AN72" i="29"/>
  <c r="AO23" i="25"/>
  <c r="AN121" i="23"/>
  <c r="AM45" i="29"/>
  <c r="AY38" i="45"/>
  <c r="AM29" i="38"/>
  <c r="AU73" i="17"/>
  <c r="Z10" i="38"/>
  <c r="AT50" i="27"/>
  <c r="AS65" i="28"/>
  <c r="AP8" i="25"/>
  <c r="AS47" i="19"/>
  <c r="AH54" i="23"/>
  <c r="AT127" i="17"/>
  <c r="AS50" i="27"/>
  <c r="AO68" i="23"/>
  <c r="AN83" i="13"/>
  <c r="AM56" i="13"/>
  <c r="A7" i="25"/>
  <c r="AN86" i="23"/>
  <c r="AN72" i="23"/>
  <c r="AD5" i="9"/>
  <c r="AO133" i="23"/>
  <c r="AT42" i="27"/>
  <c r="AO120" i="23"/>
  <c r="AO115" i="23"/>
  <c r="AN87" i="23"/>
  <c r="AR92" i="19"/>
  <c r="AN96" i="23"/>
  <c r="AN69" i="13"/>
  <c r="AT25" i="46"/>
  <c r="AY37" i="45"/>
  <c r="AS128" i="27"/>
  <c r="AN127" i="23"/>
  <c r="Y8" i="16"/>
  <c r="AH38" i="23"/>
  <c r="AS64" i="27"/>
  <c r="AT60" i="27"/>
  <c r="AT106" i="27"/>
  <c r="AT40" i="17"/>
  <c r="AT107" i="27"/>
  <c r="AT83" i="46"/>
  <c r="AT47" i="46"/>
  <c r="AS118" i="27"/>
  <c r="AJ45" i="29"/>
  <c r="AS72" i="19"/>
  <c r="AN50" i="10"/>
  <c r="AT70" i="27"/>
  <c r="AT54" i="28"/>
  <c r="AA9" i="16"/>
  <c r="AN42" i="23"/>
  <c r="AO69" i="23"/>
  <c r="AT89" i="17"/>
  <c r="AS45" i="27"/>
  <c r="AS59" i="28"/>
  <c r="AM70" i="13"/>
  <c r="AG39" i="24"/>
  <c r="Y14" i="16"/>
  <c r="AJ8" i="13"/>
  <c r="AP13" i="25"/>
  <c r="AJ12" i="13"/>
  <c r="AS129" i="27"/>
  <c r="AG107" i="22"/>
  <c r="AT69" i="46"/>
  <c r="V54" i="29"/>
  <c r="AT37" i="27"/>
  <c r="AJ81" i="29"/>
  <c r="Y20" i="16"/>
  <c r="BB71" i="46"/>
  <c r="AT119" i="17"/>
  <c r="Z13" i="38"/>
  <c r="Z18" i="22"/>
  <c r="AS80" i="19"/>
  <c r="AM62" i="13"/>
  <c r="AA10" i="16"/>
  <c r="AJ57" i="29"/>
  <c r="AM84" i="13"/>
  <c r="BG13" i="45"/>
  <c r="AH53" i="23"/>
  <c r="AO37" i="25"/>
  <c r="AT46" i="17"/>
  <c r="BA7" i="46"/>
  <c r="A27" i="25"/>
  <c r="AM63" i="13"/>
  <c r="Z12" i="22"/>
  <c r="AG122" i="22"/>
  <c r="AN51" i="29"/>
  <c r="AE7" i="9"/>
  <c r="BB81" i="46"/>
  <c r="AR7" i="19"/>
  <c r="AN34" i="23"/>
  <c r="AN57" i="10"/>
  <c r="AT103" i="27"/>
  <c r="AS101" i="27"/>
  <c r="AJ11" i="29"/>
  <c r="AT123" i="17"/>
  <c r="AG44" i="22"/>
  <c r="AT36" i="27"/>
  <c r="AJ22" i="29"/>
  <c r="AN27" i="13"/>
  <c r="AG114" i="22"/>
  <c r="AS73" i="27"/>
  <c r="AS48" i="28"/>
  <c r="AT120" i="17"/>
  <c r="AM55" i="29"/>
  <c r="AM74" i="13"/>
  <c r="AG63" i="24"/>
  <c r="AS96" i="27"/>
  <c r="AM70" i="29"/>
  <c r="AS96" i="19"/>
  <c r="AN63" i="10"/>
  <c r="AU105" i="17"/>
  <c r="BA22" i="46"/>
  <c r="AK35" i="27"/>
  <c r="AJ21" i="29"/>
  <c r="AH50" i="23"/>
  <c r="AG37" i="22"/>
  <c r="BF33" i="45"/>
  <c r="AU129" i="17"/>
  <c r="AM20" i="29"/>
  <c r="AN87" i="29"/>
  <c r="AU53" i="17"/>
  <c r="AO101" i="23"/>
  <c r="AT92" i="17"/>
  <c r="Y10" i="16"/>
  <c r="AM8" i="29"/>
  <c r="Z15" i="17"/>
  <c r="BA12" i="46"/>
  <c r="AU90" i="17"/>
  <c r="AS34" i="27"/>
  <c r="BB58" i="46"/>
  <c r="AT34" i="28"/>
  <c r="AS88" i="27"/>
  <c r="AB18" i="29"/>
  <c r="AS66" i="28"/>
  <c r="AL42" i="17"/>
  <c r="AM21" i="29"/>
  <c r="AN45" i="23"/>
  <c r="AO121" i="23"/>
  <c r="BA20" i="46"/>
  <c r="AO29" i="12"/>
  <c r="AT98" i="27"/>
  <c r="AM80" i="29"/>
  <c r="AP9" i="12"/>
  <c r="AJ74" i="29"/>
  <c r="AB42" i="29"/>
  <c r="BA34" i="46"/>
  <c r="B28" i="25"/>
  <c r="AU60" i="17"/>
  <c r="AN43" i="38"/>
  <c r="AG103" i="22"/>
  <c r="AU80" i="17"/>
  <c r="AN7" i="29"/>
  <c r="AJ60" i="13"/>
  <c r="AP27" i="25"/>
  <c r="Z22" i="27"/>
  <c r="AN98" i="13"/>
  <c r="AV43" i="18"/>
  <c r="AS43" i="27"/>
  <c r="AG121" i="22"/>
  <c r="AO77" i="23"/>
  <c r="AA44" i="22"/>
  <c r="C8" i="25"/>
  <c r="AT55" i="27"/>
  <c r="AU55" i="17"/>
  <c r="AM87" i="29"/>
  <c r="Y19" i="16"/>
  <c r="AT87" i="46"/>
  <c r="BB61" i="46"/>
  <c r="AN20" i="10"/>
  <c r="AA5" i="16"/>
  <c r="AK53" i="27"/>
  <c r="AJ59" i="29"/>
  <c r="AG53" i="22"/>
  <c r="BB57" i="46"/>
  <c r="AS103" i="27"/>
  <c r="Z15" i="22"/>
  <c r="AO96" i="23"/>
  <c r="AS53" i="28"/>
  <c r="Z16" i="22"/>
  <c r="AT60" i="28"/>
  <c r="AR86" i="19"/>
  <c r="AJ25" i="29"/>
  <c r="AR26" i="19"/>
  <c r="AA34" i="22"/>
  <c r="AN68" i="23"/>
  <c r="AU113" i="17"/>
  <c r="AJ99" i="13"/>
  <c r="AT87" i="17"/>
  <c r="AN113" i="23"/>
  <c r="AS75" i="27"/>
  <c r="AG99" i="22"/>
  <c r="AG50" i="22"/>
  <c r="AL23" i="12"/>
  <c r="AG46" i="24"/>
  <c r="BB99" i="46"/>
  <c r="AJ9" i="29"/>
  <c r="AT81" i="27"/>
  <c r="AS61" i="27"/>
  <c r="AK39" i="27"/>
  <c r="AT67" i="46"/>
  <c r="AS28" i="28"/>
  <c r="V17" i="29"/>
  <c r="AR95" i="19"/>
  <c r="AT113" i="17"/>
  <c r="AS70" i="27"/>
  <c r="AR59" i="19"/>
  <c r="AJ67" i="29"/>
  <c r="AJ73" i="29"/>
  <c r="AS121" i="27"/>
  <c r="AU34" i="17"/>
  <c r="AN101" i="23"/>
  <c r="AO44" i="23"/>
  <c r="AJ46" i="29"/>
  <c r="AH55" i="23"/>
  <c r="Y16" i="16"/>
  <c r="Y17" i="16"/>
  <c r="Z7" i="23"/>
  <c r="BA81" i="46"/>
  <c r="AR75" i="19"/>
  <c r="AG76" i="22"/>
  <c r="AM31" i="13"/>
  <c r="AM56" i="29"/>
  <c r="AT65" i="17"/>
  <c r="AN66" i="23"/>
  <c r="AO63" i="23"/>
  <c r="Y11" i="16"/>
  <c r="AA38" i="22"/>
  <c r="AO127" i="23"/>
  <c r="BB20" i="46"/>
  <c r="AN38" i="13"/>
  <c r="AR55" i="19"/>
  <c r="AS22" i="19"/>
  <c r="AT50" i="46"/>
  <c r="Z27" i="23"/>
  <c r="AO91" i="23"/>
  <c r="Z23" i="22"/>
  <c r="AU81" i="17"/>
  <c r="AS12" i="19"/>
  <c r="AP12" i="25"/>
  <c r="AO61" i="23"/>
  <c r="AU69" i="17"/>
  <c r="AP28" i="12"/>
  <c r="AS49" i="19"/>
  <c r="AN62" i="29"/>
  <c r="AR71" i="19"/>
  <c r="BF22" i="45"/>
  <c r="AO33" i="25"/>
  <c r="A8" i="25"/>
  <c r="AN32" i="10"/>
  <c r="AG86" i="22"/>
  <c r="AJ75" i="13"/>
  <c r="AN79" i="29"/>
  <c r="AP16" i="12"/>
  <c r="A12" i="25"/>
  <c r="AT60" i="46"/>
  <c r="AR87" i="19"/>
  <c r="AO114" i="23"/>
  <c r="AN38" i="10"/>
  <c r="AJ34" i="13"/>
  <c r="AJ26" i="29"/>
  <c r="AS107" i="27"/>
  <c r="AG64" i="22"/>
  <c r="AB41" i="29"/>
  <c r="AR20" i="19"/>
  <c r="AG47" i="22"/>
  <c r="AS133" i="27"/>
  <c r="AT114" i="27"/>
  <c r="AG80" i="22"/>
  <c r="AO31" i="12"/>
  <c r="AJ36" i="13"/>
  <c r="AJ44" i="13"/>
  <c r="AJ99" i="29"/>
  <c r="AT76" i="17"/>
  <c r="AO116" i="23"/>
  <c r="AT36" i="46"/>
  <c r="AT95" i="27"/>
  <c r="AT64" i="27"/>
  <c r="AM51" i="29"/>
  <c r="AM83" i="29"/>
  <c r="AM9" i="13"/>
  <c r="AT91" i="27"/>
  <c r="AO122" i="23"/>
  <c r="AS92" i="27"/>
  <c r="AG73" i="22"/>
  <c r="Z20" i="27"/>
  <c r="AN96" i="13"/>
  <c r="AJ93" i="29"/>
  <c r="AT33" i="28"/>
  <c r="AS8" i="19"/>
  <c r="AG125" i="22"/>
  <c r="AB29" i="29"/>
  <c r="AJ15" i="13"/>
  <c r="AO53" i="23"/>
  <c r="Z17" i="22"/>
  <c r="AL22" i="25"/>
  <c r="AH37" i="23"/>
  <c r="AJ23" i="13"/>
  <c r="BA80" i="46"/>
  <c r="AU96" i="17"/>
  <c r="AT36" i="17"/>
  <c r="AT11" i="46"/>
  <c r="AS19" i="19"/>
  <c r="Z15" i="23"/>
  <c r="AN63" i="23"/>
  <c r="AP17" i="25"/>
  <c r="AU86" i="17"/>
  <c r="AT13" i="46"/>
  <c r="AW38" i="18"/>
  <c r="AO129" i="23"/>
  <c r="AS123" i="27"/>
  <c r="AT68" i="27"/>
  <c r="AM69" i="29"/>
  <c r="AN33" i="29"/>
  <c r="AA37" i="22"/>
  <c r="AS95" i="27"/>
  <c r="BA69" i="46"/>
  <c r="AT54" i="17"/>
  <c r="V30" i="29"/>
  <c r="BG27" i="45"/>
  <c r="AM13" i="29"/>
  <c r="AU77" i="17"/>
  <c r="C12" i="25"/>
  <c r="AG97" i="22"/>
  <c r="AM46" i="13"/>
  <c r="Z13" i="17"/>
  <c r="AT44" i="46"/>
  <c r="Z23" i="27"/>
  <c r="AJ93" i="13"/>
  <c r="AR85" i="19"/>
  <c r="AC8" i="9"/>
  <c r="AJ33" i="29"/>
  <c r="AS112" i="27"/>
  <c r="AA47" i="22"/>
  <c r="AU36" i="17"/>
  <c r="AT41" i="28"/>
  <c r="AM44" i="13"/>
  <c r="BA11" i="46"/>
  <c r="AO30" i="12"/>
  <c r="BF13" i="45"/>
  <c r="BB80" i="46"/>
  <c r="AO64" i="23"/>
  <c r="AN94" i="23"/>
  <c r="AT74" i="46"/>
  <c r="AL40" i="17"/>
  <c r="AS47" i="27"/>
  <c r="AV42" i="18"/>
  <c r="AM23" i="29"/>
  <c r="BB62" i="46"/>
  <c r="AP32" i="25"/>
  <c r="AT76" i="27"/>
  <c r="AM46" i="29"/>
  <c r="AM87" i="13"/>
  <c r="AT63" i="27"/>
  <c r="AN14" i="13"/>
  <c r="BB72" i="46"/>
  <c r="AG118" i="22"/>
  <c r="AT86" i="17"/>
  <c r="AG42" i="22"/>
  <c r="AT37" i="17"/>
  <c r="AT53" i="28"/>
  <c r="AG26" i="24"/>
  <c r="Z19" i="23"/>
  <c r="AG116" i="22"/>
  <c r="AM11" i="13"/>
  <c r="AH40" i="23"/>
  <c r="AL16" i="12"/>
  <c r="Z20" i="23"/>
  <c r="AT80" i="17"/>
  <c r="AN102" i="23"/>
  <c r="AL14" i="12"/>
  <c r="C17" i="25"/>
  <c r="AJ58" i="13"/>
  <c r="AW18" i="18"/>
  <c r="AO13" i="25"/>
  <c r="BF32" i="45"/>
  <c r="AN28" i="10"/>
  <c r="AO39" i="23"/>
  <c r="BG37" i="45"/>
  <c r="AN93" i="13"/>
  <c r="AM34" i="13"/>
  <c r="BB14" i="46"/>
  <c r="BA38" i="46"/>
  <c r="AA14" i="10"/>
  <c r="AJ24" i="29"/>
  <c r="AN71" i="13"/>
  <c r="B7" i="25"/>
  <c r="BB67" i="46"/>
  <c r="AN87" i="13"/>
  <c r="AU89" i="17"/>
  <c r="AN47" i="29"/>
  <c r="AU44" i="17"/>
  <c r="AO67" i="23"/>
  <c r="AV18" i="18"/>
  <c r="AW32" i="18"/>
  <c r="AJ79" i="13"/>
  <c r="BB13" i="46"/>
  <c r="AS47" i="28"/>
  <c r="AN31" i="13"/>
  <c r="BA95" i="46"/>
  <c r="AU66" i="17"/>
  <c r="AN36" i="13"/>
  <c r="B18" i="25"/>
  <c r="AR62" i="19"/>
  <c r="AJ48" i="13"/>
  <c r="AS94" i="27"/>
  <c r="AT116" i="27"/>
  <c r="AO75" i="23"/>
  <c r="Y5" i="16"/>
  <c r="AT49" i="27"/>
  <c r="AM57" i="13"/>
  <c r="AT97" i="17"/>
  <c r="AJ73" i="13"/>
  <c r="BB45" i="46"/>
  <c r="AN21" i="38"/>
  <c r="AN12" i="13"/>
  <c r="AT44" i="17"/>
  <c r="BA98" i="46"/>
  <c r="AN112" i="23"/>
  <c r="AN70" i="23"/>
  <c r="AN38" i="29"/>
  <c r="AO73" i="23"/>
  <c r="AN83" i="29"/>
  <c r="AT98" i="46"/>
  <c r="AN68" i="13"/>
  <c r="AM31" i="29"/>
  <c r="AS36" i="27"/>
  <c r="BA96" i="46"/>
  <c r="AM71" i="29"/>
  <c r="AO97" i="23"/>
  <c r="AJ34" i="29"/>
  <c r="AG38" i="24"/>
  <c r="Z16" i="27"/>
  <c r="BB51" i="46"/>
  <c r="AJ55" i="13"/>
  <c r="AN40" i="10"/>
  <c r="AT87" i="27"/>
  <c r="Z13" i="23"/>
  <c r="AN114" i="23"/>
  <c r="AV38" i="18"/>
  <c r="AR44" i="19"/>
  <c r="AG43" i="22"/>
  <c r="V41" i="29"/>
  <c r="AJ84" i="13"/>
  <c r="AU79" i="17"/>
  <c r="AJ80" i="29"/>
  <c r="AD7" i="9"/>
  <c r="AR23" i="19"/>
  <c r="AS56" i="19"/>
  <c r="AS45" i="19"/>
  <c r="AG75" i="22"/>
  <c r="AO17" i="25"/>
  <c r="AT68" i="46"/>
  <c r="BG22" i="45"/>
  <c r="BA10" i="46"/>
  <c r="AM22" i="13"/>
  <c r="AN37" i="29"/>
  <c r="AJ20" i="29"/>
  <c r="AT61" i="46"/>
  <c r="BB39" i="46"/>
  <c r="Z28" i="23"/>
  <c r="AJ69" i="13"/>
  <c r="AG52" i="24"/>
  <c r="AS21" i="28"/>
  <c r="AV37" i="18"/>
  <c r="AU127" i="17"/>
  <c r="AM73" i="29"/>
  <c r="AU47" i="17"/>
  <c r="AB78" i="29"/>
  <c r="AG119" i="22"/>
  <c r="AU43" i="17"/>
  <c r="AN96" i="29"/>
  <c r="AG90" i="22"/>
  <c r="AR13" i="19"/>
  <c r="AM50" i="13"/>
  <c r="AN91" i="29"/>
  <c r="BA9" i="46"/>
  <c r="AJ27" i="29"/>
  <c r="AN123" i="23"/>
  <c r="BA44" i="46"/>
  <c r="AL10" i="12"/>
  <c r="AG115" i="22"/>
  <c r="Z24" i="22"/>
  <c r="AP22" i="12"/>
  <c r="BB73" i="46"/>
  <c r="AS113" i="27"/>
  <c r="AN37" i="13"/>
  <c r="AP7" i="12"/>
  <c r="AG46" i="22"/>
  <c r="AT120" i="27"/>
  <c r="AN33" i="10"/>
  <c r="AT131" i="17"/>
  <c r="AT73" i="17"/>
  <c r="BB21" i="46"/>
  <c r="AT34" i="46"/>
  <c r="BB43" i="46"/>
  <c r="A22" i="25"/>
  <c r="AO123" i="23"/>
  <c r="AN56" i="29"/>
  <c r="V29" i="29"/>
  <c r="AO38" i="23"/>
  <c r="BB11" i="46"/>
  <c r="B23" i="25"/>
  <c r="BA82" i="46"/>
  <c r="AN58" i="13"/>
  <c r="AN36" i="23"/>
  <c r="AN14" i="29"/>
  <c r="AG124" i="22"/>
  <c r="AM20" i="13"/>
  <c r="AR27" i="19"/>
  <c r="AT12" i="46"/>
  <c r="AU35" i="17"/>
  <c r="AU132" i="17"/>
  <c r="AM85" i="13"/>
  <c r="AS67" i="19"/>
  <c r="AK36" i="27"/>
  <c r="AM61" i="13"/>
  <c r="AN9" i="13"/>
  <c r="AS105" i="27"/>
  <c r="AO102" i="23"/>
  <c r="AN51" i="23"/>
  <c r="AT46" i="46"/>
  <c r="Z14" i="22"/>
  <c r="AN105" i="23"/>
  <c r="AP38" i="25"/>
  <c r="AM25" i="29"/>
  <c r="AN85" i="13"/>
  <c r="AN81" i="29"/>
  <c r="AT75" i="27"/>
  <c r="BF42" i="45"/>
  <c r="AT32" i="46"/>
  <c r="AG58" i="24"/>
  <c r="AT40" i="27"/>
  <c r="AG113" i="22"/>
  <c r="AT84" i="46"/>
  <c r="AT133" i="17"/>
  <c r="AM94" i="13"/>
  <c r="AN62" i="13"/>
  <c r="AT96" i="46"/>
  <c r="AS117" i="27"/>
  <c r="BA8" i="46"/>
  <c r="AM14" i="29"/>
  <c r="AR51" i="19"/>
  <c r="AT41" i="17"/>
  <c r="AT103" i="17"/>
  <c r="C22" i="25"/>
  <c r="AF5" i="9"/>
  <c r="AJ43" i="29"/>
  <c r="AN64" i="23"/>
  <c r="AN20" i="29"/>
  <c r="AG34" i="24"/>
  <c r="AN59" i="29"/>
  <c r="AN73" i="23"/>
  <c r="AN95" i="23"/>
  <c r="AT129" i="17"/>
  <c r="AH45" i="23"/>
  <c r="AO55" i="23"/>
  <c r="AG102" i="22"/>
  <c r="AG127" i="22"/>
  <c r="B17" i="25"/>
  <c r="AT105" i="17"/>
  <c r="AM27" i="29"/>
  <c r="AT59" i="28"/>
  <c r="AK22" i="28"/>
  <c r="AM97" i="13"/>
  <c r="AT14" i="46"/>
  <c r="AT7" i="46"/>
  <c r="AU68" i="17"/>
  <c r="AK41" i="27"/>
  <c r="Z7" i="28"/>
  <c r="AS20" i="19"/>
  <c r="B22" i="25"/>
  <c r="BF23" i="45"/>
  <c r="AJ60" i="29"/>
  <c r="AB77" i="29"/>
  <c r="Z12" i="27"/>
  <c r="AU128" i="17"/>
  <c r="AN67" i="23"/>
  <c r="AS84" i="19"/>
  <c r="AN133" i="23"/>
  <c r="AS80" i="27"/>
  <c r="AJ83" i="13"/>
  <c r="AN47" i="13"/>
  <c r="BB69" i="46"/>
  <c r="BB44" i="46"/>
  <c r="AA7" i="10"/>
  <c r="AN36" i="29"/>
  <c r="AN77" i="23"/>
  <c r="AS115" i="27"/>
  <c r="AS95" i="19"/>
  <c r="AJ21" i="13"/>
  <c r="AR83" i="19"/>
  <c r="AT91" i="17"/>
  <c r="BA92" i="46"/>
  <c r="AG32" i="24"/>
  <c r="AS127" i="27"/>
  <c r="AJ58" i="29"/>
  <c r="AG22" i="24"/>
  <c r="AT60" i="17"/>
  <c r="AM75" i="29"/>
  <c r="AS94" i="19"/>
  <c r="AT66" i="17"/>
  <c r="AN39" i="10"/>
  <c r="AT51" i="17"/>
  <c r="AO42" i="25"/>
  <c r="AO12" i="25"/>
  <c r="AN67" i="29"/>
  <c r="AU51" i="17"/>
  <c r="AS63" i="19"/>
  <c r="AJ72" i="29"/>
  <c r="AH42" i="23"/>
  <c r="AT80" i="46"/>
  <c r="AT121" i="17"/>
  <c r="Z20" i="22"/>
  <c r="AS54" i="27"/>
  <c r="AT48" i="28"/>
  <c r="AN23" i="13"/>
  <c r="AO71" i="23"/>
  <c r="AJ61" i="13"/>
  <c r="AG21" i="38"/>
  <c r="AY12" i="45"/>
  <c r="AL24" i="12"/>
  <c r="AN95" i="29"/>
  <c r="AJ95" i="29"/>
  <c r="AM38" i="13"/>
  <c r="AT69" i="17"/>
  <c r="AG45" i="22"/>
  <c r="AT67" i="28"/>
  <c r="AN44" i="13"/>
  <c r="AG54" i="22"/>
  <c r="AJ94" i="13"/>
  <c r="BA62" i="46"/>
  <c r="AJ62" i="29"/>
  <c r="AN94" i="13"/>
  <c r="V66" i="29"/>
  <c r="AS33" i="19"/>
  <c r="AO81" i="23"/>
  <c r="BA51" i="46"/>
  <c r="AJ97" i="29"/>
  <c r="AJ14" i="29"/>
  <c r="AU102" i="17"/>
  <c r="AM15" i="13"/>
  <c r="AJ39" i="29"/>
  <c r="AU75" i="17"/>
  <c r="AN39" i="13"/>
  <c r="AE5" i="9"/>
  <c r="AJ95" i="13"/>
  <c r="AN49" i="23"/>
  <c r="BA83" i="46"/>
  <c r="AU42" i="17"/>
  <c r="AT45" i="17"/>
  <c r="AT102" i="17"/>
  <c r="AN31" i="29"/>
  <c r="AT46" i="27"/>
  <c r="AT53" i="17"/>
  <c r="AN37" i="23"/>
  <c r="AT19" i="46"/>
  <c r="AN35" i="23"/>
  <c r="AN81" i="23"/>
  <c r="AO76" i="23"/>
  <c r="AM68" i="29"/>
  <c r="AA13" i="16"/>
  <c r="AN74" i="13"/>
  <c r="AT56" i="46"/>
  <c r="BA58" i="46"/>
  <c r="AN8" i="13"/>
  <c r="AO24" i="12"/>
  <c r="AO80" i="23"/>
  <c r="AJ25" i="13"/>
  <c r="BB83" i="46"/>
  <c r="AL27" i="25"/>
  <c r="AT38" i="17"/>
  <c r="AN103" i="23"/>
  <c r="AK28" i="28"/>
  <c r="AR25" i="19"/>
  <c r="AM73" i="13"/>
  <c r="AO60" i="23"/>
  <c r="AA51" i="22"/>
  <c r="AO106" i="23"/>
  <c r="AT98" i="17"/>
  <c r="AT94" i="27"/>
  <c r="AT99" i="46"/>
  <c r="AN24" i="13"/>
  <c r="AU115" i="17"/>
  <c r="AJ59" i="13"/>
  <c r="AG49" i="22"/>
  <c r="AT45" i="27"/>
  <c r="AS91" i="27"/>
  <c r="AU120" i="17"/>
  <c r="AG28" i="24"/>
  <c r="AG77" i="22"/>
  <c r="AT49" i="17"/>
  <c r="AL54" i="17"/>
  <c r="AK51" i="27"/>
  <c r="AO50" i="23"/>
  <c r="AG57" i="24"/>
  <c r="B43" i="25"/>
  <c r="AA18" i="16"/>
  <c r="AN34" i="13"/>
  <c r="AB65" i="29"/>
  <c r="BA37" i="46"/>
  <c r="AN26" i="29"/>
  <c r="AS67" i="27"/>
  <c r="AS58" i="19"/>
  <c r="AT39" i="27"/>
  <c r="AT61" i="28"/>
  <c r="AN13" i="29"/>
  <c r="AU114" i="17"/>
  <c r="Z7" i="17"/>
  <c r="AO8" i="12"/>
  <c r="Z28" i="27"/>
  <c r="Z8" i="38"/>
  <c r="BB33" i="46"/>
  <c r="AM83" i="13"/>
  <c r="BA47" i="46"/>
  <c r="Z22" i="23"/>
  <c r="AA40" i="22"/>
  <c r="AN11" i="13"/>
  <c r="AN119" i="23"/>
  <c r="AJ85" i="29"/>
  <c r="AT71" i="46"/>
  <c r="AT9" i="46"/>
  <c r="AR34" i="19"/>
  <c r="AS41" i="27"/>
  <c r="AO9" i="12"/>
  <c r="AL38" i="17"/>
  <c r="AS67" i="28"/>
  <c r="AG131" i="22"/>
  <c r="AS131" i="27"/>
  <c r="AJ61" i="29"/>
  <c r="Z10" i="27"/>
  <c r="AM49" i="13"/>
  <c r="AW42" i="18"/>
  <c r="AT28" i="28"/>
  <c r="AO128" i="23"/>
  <c r="AT71" i="17"/>
  <c r="AN47" i="23"/>
  <c r="AS27" i="19"/>
  <c r="AS71" i="19"/>
  <c r="C27" i="25"/>
  <c r="AJ23" i="29"/>
  <c r="Z14" i="23"/>
  <c r="AA49" i="22"/>
  <c r="AR14" i="19"/>
  <c r="BB50" i="46"/>
  <c r="AM10" i="13"/>
  <c r="AA53" i="22"/>
  <c r="AL8" i="12"/>
  <c r="BA15" i="46"/>
  <c r="AS66" i="27"/>
  <c r="BB9" i="46"/>
  <c r="AK27" i="28"/>
  <c r="AT35" i="28"/>
  <c r="AG63" i="22"/>
  <c r="AJ94" i="29"/>
  <c r="AN46" i="10"/>
  <c r="AT131" i="27"/>
  <c r="AR11" i="19"/>
  <c r="AG20" i="38"/>
  <c r="AU112" i="17"/>
  <c r="AR93" i="19"/>
  <c r="AN98" i="23"/>
  <c r="AS61" i="19"/>
  <c r="AM63" i="29"/>
  <c r="AN132" i="23"/>
  <c r="AM27" i="13"/>
  <c r="AJ63" i="13"/>
  <c r="AN55" i="13"/>
  <c r="AT125" i="27"/>
  <c r="BA99" i="46"/>
  <c r="AM68" i="13"/>
  <c r="AJ85" i="13"/>
  <c r="AM45" i="13"/>
  <c r="AM98" i="13"/>
  <c r="AJ26" i="13"/>
  <c r="AU101" i="17"/>
  <c r="AT93" i="27"/>
  <c r="AR97" i="19"/>
  <c r="AY27" i="45"/>
  <c r="AN44" i="23"/>
  <c r="AO99" i="23"/>
  <c r="AM58" i="29"/>
  <c r="AT115" i="17"/>
  <c r="AO132" i="23"/>
  <c r="AM22" i="29"/>
  <c r="AS75" i="19"/>
  <c r="BG8" i="45"/>
  <c r="AT47" i="28"/>
  <c r="AJ98" i="13"/>
  <c r="AN43" i="23"/>
  <c r="AG123" i="22"/>
  <c r="AJ74" i="13"/>
  <c r="AF21" i="10"/>
  <c r="AN91" i="23"/>
  <c r="AJ7" i="13"/>
  <c r="AS99" i="19"/>
  <c r="AR39" i="19"/>
  <c r="AS124" i="27"/>
  <c r="AG133" i="22"/>
  <c r="AT27" i="46"/>
  <c r="AJ87" i="13"/>
  <c r="AU125" i="17"/>
  <c r="AT121" i="27"/>
  <c r="AN75" i="23"/>
  <c r="BG38" i="45"/>
  <c r="AT59" i="46"/>
  <c r="AT116" i="17"/>
  <c r="Z27" i="22"/>
  <c r="AN45" i="10"/>
  <c r="AO107" i="23"/>
  <c r="AM12" i="13"/>
  <c r="AJ55" i="29"/>
  <c r="AM26" i="29"/>
  <c r="AG129" i="22"/>
  <c r="AL37" i="25"/>
  <c r="AT31" i="46"/>
  <c r="BB25" i="46"/>
  <c r="AS22" i="28"/>
  <c r="BA94" i="46"/>
  <c r="AT35" i="46"/>
  <c r="Z7" i="27"/>
  <c r="AL41" i="17"/>
  <c r="AM33" i="13"/>
  <c r="AN58" i="29"/>
  <c r="AU76" i="17"/>
  <c r="AT79" i="27"/>
  <c r="AT94" i="46"/>
  <c r="Z26" i="23"/>
  <c r="AN93" i="23"/>
  <c r="AN26" i="13"/>
  <c r="AW12" i="18"/>
  <c r="AJ8" i="29"/>
  <c r="AS54" i="28"/>
  <c r="AA22" i="24"/>
  <c r="AS93" i="19"/>
  <c r="AS68" i="27"/>
  <c r="AN58" i="10"/>
  <c r="AM20" i="38"/>
  <c r="AU62" i="17"/>
  <c r="AT82" i="46"/>
  <c r="AJ19" i="13"/>
  <c r="AG40" i="24"/>
  <c r="AU118" i="17"/>
  <c r="AT118" i="17"/>
  <c r="AO117" i="23"/>
  <c r="AW17" i="18"/>
  <c r="AL7" i="12"/>
  <c r="AM19" i="13"/>
  <c r="AT34" i="27"/>
  <c r="AU87" i="17"/>
  <c r="AP8" i="12"/>
  <c r="AT67" i="27"/>
  <c r="Z22" i="22"/>
  <c r="AR33" i="19"/>
  <c r="AN46" i="23"/>
  <c r="AM47" i="13"/>
  <c r="V6" i="29"/>
  <c r="Z22" i="17"/>
  <c r="AN43" i="29"/>
  <c r="AM34" i="38"/>
  <c r="AM93" i="29"/>
  <c r="AS27" i="28"/>
  <c r="AG34" i="22"/>
  <c r="AP21" i="12"/>
  <c r="AN39" i="23"/>
  <c r="Z8" i="22"/>
  <c r="AJ9" i="13"/>
  <c r="AG33" i="24"/>
  <c r="AM82" i="13"/>
  <c r="AO54" i="23"/>
  <c r="AN107" i="23"/>
  <c r="AN13" i="13"/>
  <c r="AJ80" i="13"/>
  <c r="AS60" i="27"/>
  <c r="AS79" i="27"/>
  <c r="Y18" i="16"/>
  <c r="AJ70" i="13"/>
  <c r="AT75" i="46"/>
  <c r="AO27" i="25"/>
  <c r="AM43" i="13"/>
  <c r="BA59" i="46"/>
  <c r="AN45" i="13"/>
  <c r="AT38" i="46"/>
  <c r="BA25" i="46"/>
  <c r="AR49" i="19"/>
  <c r="BA75" i="46"/>
  <c r="Z26" i="22"/>
  <c r="AN9" i="29"/>
  <c r="AT75" i="17"/>
  <c r="BB75" i="46"/>
  <c r="AS40" i="27"/>
  <c r="AN27" i="29"/>
  <c r="AO8" i="25"/>
  <c r="AS119" i="27"/>
  <c r="AP24" i="12"/>
  <c r="AN65" i="23"/>
  <c r="AB17" i="29"/>
  <c r="AG101" i="22"/>
  <c r="AN57" i="13"/>
  <c r="AN34" i="10"/>
  <c r="AM57" i="29"/>
  <c r="AL32" i="25"/>
  <c r="AS81" i="27"/>
  <c r="B42" i="25"/>
  <c r="AS98" i="19"/>
  <c r="AM91" i="13"/>
  <c r="AT39" i="28"/>
  <c r="AS77" i="27"/>
  <c r="AN82" i="13"/>
  <c r="AN92" i="29"/>
  <c r="AR48" i="19"/>
  <c r="AO119" i="23"/>
  <c r="Z9" i="22"/>
  <c r="AY42" i="45"/>
  <c r="AM62" i="29"/>
  <c r="AR94" i="19"/>
  <c r="AN89" i="23"/>
  <c r="AG94" i="22"/>
  <c r="AY7" i="45"/>
  <c r="AA39" i="22"/>
  <c r="Z24" i="23"/>
  <c r="AJ81" i="13"/>
  <c r="AJ96" i="13"/>
  <c r="AJ72" i="13"/>
  <c r="AM81" i="29"/>
  <c r="AO22" i="25"/>
  <c r="Y9" i="16"/>
  <c r="AN22" i="38"/>
  <c r="AJ68" i="29"/>
  <c r="AG22" i="38"/>
  <c r="AW27" i="18"/>
  <c r="BB56" i="46"/>
  <c r="AM48" i="13"/>
  <c r="AJ7" i="29"/>
  <c r="AS83" i="19"/>
  <c r="BA36" i="46"/>
  <c r="AM19" i="29"/>
  <c r="AT24" i="46"/>
  <c r="BB85" i="46"/>
  <c r="AY33" i="45"/>
  <c r="AK26" i="28"/>
  <c r="AA6" i="16"/>
  <c r="AN73" i="29"/>
  <c r="AM10" i="29"/>
  <c r="AN72" i="13"/>
  <c r="AU122" i="17"/>
  <c r="AN33" i="13"/>
  <c r="AM79" i="29"/>
  <c r="AA46" i="22"/>
  <c r="AN38" i="23"/>
  <c r="AA41" i="22"/>
  <c r="AN122" i="23"/>
  <c r="AM71" i="13"/>
  <c r="AO45" i="23"/>
  <c r="AW13" i="18"/>
  <c r="AP15" i="12"/>
  <c r="AW43" i="18"/>
  <c r="AG41" i="22"/>
  <c r="Z9" i="17"/>
  <c r="AS10" i="19"/>
  <c r="AL39" i="17"/>
  <c r="AJ92" i="13"/>
  <c r="AN24" i="29"/>
  <c r="AO41" i="23"/>
  <c r="AL43" i="17"/>
  <c r="Z18" i="23"/>
  <c r="AN131" i="23"/>
  <c r="AN88" i="23"/>
  <c r="B38" i="25"/>
  <c r="AS87" i="27"/>
  <c r="AN36" i="38"/>
  <c r="BG23" i="45"/>
  <c r="BA24" i="46"/>
  <c r="Z19" i="27"/>
  <c r="AR63" i="19"/>
  <c r="AM11" i="29"/>
  <c r="AN86" i="29"/>
  <c r="AT124" i="27"/>
  <c r="AG61" i="22"/>
  <c r="AN52" i="10"/>
  <c r="AT132" i="17"/>
  <c r="AP29" i="12"/>
  <c r="AW28" i="18"/>
  <c r="AS32" i="19"/>
  <c r="AN20" i="38"/>
  <c r="AB6" i="29"/>
  <c r="AC5" i="9"/>
  <c r="AN60" i="23"/>
  <c r="Z7" i="38"/>
  <c r="AJ98" i="29"/>
  <c r="A38" i="25"/>
  <c r="AN91" i="13"/>
  <c r="AO23" i="12"/>
  <c r="AO90" i="23"/>
  <c r="AN50" i="29"/>
  <c r="AL9" i="12"/>
  <c r="Z12" i="17"/>
  <c r="AO87" i="23"/>
  <c r="AG35" i="22"/>
  <c r="AY22" i="45"/>
  <c r="AU119" i="17"/>
  <c r="BA72" i="46"/>
  <c r="AU61" i="17"/>
  <c r="AO21" i="12"/>
  <c r="AU131" i="17"/>
  <c r="AM95" i="13"/>
  <c r="AN53" i="23"/>
  <c r="AN120" i="23"/>
  <c r="AN98" i="29"/>
  <c r="AT64" i="17"/>
  <c r="AO47" i="23"/>
  <c r="AB90" i="29"/>
  <c r="AM92" i="29"/>
  <c r="AP18" i="25"/>
  <c r="AM99" i="29"/>
  <c r="AN73" i="13"/>
  <c r="AH34" i="23"/>
  <c r="AO103" i="23"/>
  <c r="AR98" i="19"/>
  <c r="AS51" i="19"/>
  <c r="AT70" i="46"/>
  <c r="Z9" i="27"/>
  <c r="AN49" i="29"/>
  <c r="AU64" i="17"/>
  <c r="AO65" i="23"/>
  <c r="AS14" i="19"/>
  <c r="AJ24" i="13"/>
  <c r="BA43" i="46"/>
  <c r="Z27" i="27"/>
  <c r="AM61" i="29"/>
  <c r="AU133" i="17"/>
  <c r="AR37" i="19"/>
  <c r="AB53" i="29"/>
  <c r="A23" i="25"/>
  <c r="BA86" i="46"/>
  <c r="AD8" i="9"/>
  <c r="AN99" i="13"/>
  <c r="AT93" i="17"/>
  <c r="BB86" i="46"/>
  <c r="Z14" i="27"/>
  <c r="AG98" i="22"/>
  <c r="AN95" i="13"/>
  <c r="AM43" i="38"/>
  <c r="BB27" i="46"/>
  <c r="AT127" i="27"/>
  <c r="BB59" i="46"/>
  <c r="AJ35" i="13"/>
  <c r="AG70" i="22"/>
  <c r="AO70" i="23"/>
  <c r="V5" i="29"/>
  <c r="AT72" i="17"/>
  <c r="AT89" i="27"/>
  <c r="AT61" i="27"/>
  <c r="AT79" i="17"/>
  <c r="BA23" i="46"/>
  <c r="AT107" i="17"/>
  <c r="AU107" i="17"/>
  <c r="AT43" i="17"/>
  <c r="Z23" i="17"/>
  <c r="AT27" i="28"/>
  <c r="AT39" i="46"/>
  <c r="AN39" i="29"/>
  <c r="AN40" i="23"/>
  <c r="V89" i="29"/>
  <c r="A28" i="25"/>
  <c r="AM67" i="29"/>
  <c r="AU50" i="17"/>
  <c r="Z10" i="17"/>
  <c r="AA17" i="16"/>
  <c r="AR38" i="19"/>
  <c r="Y12" i="16"/>
  <c r="AM69" i="13"/>
  <c r="AS87" i="19"/>
  <c r="AO62" i="23"/>
  <c r="AM12" i="29"/>
  <c r="AS23" i="19"/>
  <c r="AT112" i="27"/>
  <c r="AM85" i="29"/>
  <c r="C7" i="25"/>
  <c r="AK47" i="27"/>
  <c r="BA39" i="46"/>
  <c r="AM50" i="29"/>
  <c r="AR69" i="19"/>
  <c r="AO79" i="23"/>
  <c r="AS97" i="19"/>
  <c r="BA19" i="46"/>
  <c r="AS38" i="19"/>
  <c r="AV22" i="18"/>
  <c r="AM98" i="29"/>
  <c r="AE6" i="9"/>
  <c r="AM82" i="29"/>
  <c r="AA45" i="22"/>
  <c r="BA60" i="46"/>
  <c r="AN97" i="23"/>
  <c r="AC7" i="9"/>
  <c r="AR91" i="19"/>
  <c r="AN117" i="23"/>
  <c r="AG91" i="22"/>
  <c r="AO92" i="23"/>
  <c r="AD6" i="9"/>
  <c r="AK38" i="27"/>
  <c r="AY23" i="45"/>
  <c r="AT94" i="17"/>
  <c r="AT39" i="17"/>
  <c r="AG65" i="22"/>
  <c r="AM86" i="29"/>
  <c r="AK34" i="27"/>
  <c r="AA35" i="22"/>
  <c r="AM75" i="13"/>
  <c r="AN26" i="10"/>
  <c r="AT92" i="46"/>
  <c r="AH49" i="23"/>
  <c r="AU41" i="17"/>
  <c r="AJ37" i="13"/>
  <c r="AP22" i="25"/>
  <c r="Z12" i="23"/>
  <c r="AM59" i="29"/>
  <c r="AM60" i="29"/>
  <c r="AA14" i="24"/>
  <c r="AH46" i="23"/>
  <c r="AM35" i="29"/>
  <c r="AY8" i="45"/>
  <c r="AM47" i="29"/>
  <c r="BB24" i="46"/>
  <c r="AM25" i="13"/>
  <c r="AW8" i="18"/>
  <c r="AU37" i="17"/>
  <c r="BB92" i="46"/>
  <c r="BG32" i="45"/>
  <c r="AW33" i="18"/>
  <c r="AK49" i="27"/>
  <c r="AP7" i="25"/>
  <c r="BA91" i="46"/>
  <c r="BB95" i="46"/>
  <c r="C37" i="25"/>
  <c r="AM93" i="13"/>
  <c r="AG38" i="22"/>
  <c r="AM72" i="13"/>
  <c r="AJ39" i="13"/>
  <c r="AT97" i="27"/>
  <c r="AW37" i="18"/>
  <c r="AT115" i="27"/>
  <c r="AT72" i="46"/>
  <c r="AO34" i="23"/>
  <c r="AJ11" i="13"/>
  <c r="AN20" i="13"/>
  <c r="AM14" i="13"/>
  <c r="AG88" i="22"/>
  <c r="AS89" i="27"/>
  <c r="AT50" i="17"/>
  <c r="AT114" i="17"/>
  <c r="AT43" i="27"/>
  <c r="AO131" i="23"/>
  <c r="AJ50" i="13"/>
  <c r="AR67" i="19"/>
  <c r="AM37" i="29"/>
  <c r="BB12" i="46"/>
  <c r="AS65" i="27"/>
  <c r="AV32" i="18"/>
  <c r="AT61" i="17"/>
  <c r="AJ83" i="29"/>
  <c r="BA35" i="46"/>
  <c r="AR36" i="19"/>
  <c r="Z26" i="17"/>
  <c r="AP33" i="25"/>
  <c r="Z10" i="22"/>
  <c r="AJ75" i="29"/>
  <c r="AN106" i="23"/>
  <c r="AJ91" i="13"/>
  <c r="AT95" i="17"/>
  <c r="BF28" i="45"/>
  <c r="AS11" i="19"/>
  <c r="AS99" i="27"/>
  <c r="AR8" i="19"/>
  <c r="AS86" i="27"/>
  <c r="AT68" i="17"/>
  <c r="AT55" i="46"/>
  <c r="AM60" i="13"/>
  <c r="AR21" i="19"/>
  <c r="AS46" i="27"/>
  <c r="B33" i="25"/>
  <c r="C38" i="25"/>
  <c r="AN84" i="13"/>
  <c r="AN19" i="29"/>
  <c r="AR24" i="19"/>
  <c r="AN62" i="10"/>
  <c r="AN46" i="13"/>
  <c r="AJ67" i="13"/>
  <c r="AU40" i="17"/>
  <c r="AA14" i="16"/>
  <c r="AK43" i="27"/>
  <c r="AG62" i="22"/>
  <c r="AM51" i="13"/>
  <c r="BB93" i="46"/>
  <c r="AP23" i="25"/>
  <c r="AN55" i="23"/>
  <c r="AM36" i="38"/>
  <c r="BB47" i="46"/>
  <c r="BA93" i="46"/>
  <c r="AS39" i="19"/>
  <c r="AN8" i="29"/>
  <c r="BB31" i="46"/>
  <c r="AL17" i="25"/>
  <c r="AJ87" i="29"/>
  <c r="AN23" i="29"/>
  <c r="AG66" i="22"/>
  <c r="Z11" i="28"/>
  <c r="AW23" i="18"/>
  <c r="AS13" i="19"/>
  <c r="AU98" i="17"/>
  <c r="AN56" i="10"/>
  <c r="AJ50" i="29"/>
  <c r="AF27" i="10"/>
  <c r="AJ56" i="29"/>
  <c r="AU103" i="17"/>
  <c r="AN94" i="29"/>
  <c r="AO28" i="12"/>
  <c r="AF8" i="9"/>
  <c r="BA61" i="46"/>
  <c r="V65" i="29"/>
  <c r="AS132" i="27"/>
  <c r="C23" i="25"/>
  <c r="AO113" i="23"/>
  <c r="AS46" i="19"/>
  <c r="AJ57" i="13"/>
  <c r="AM80" i="13"/>
  <c r="AO15" i="12"/>
  <c r="AU123" i="17"/>
  <c r="AR50" i="19"/>
  <c r="AO49" i="23"/>
  <c r="Z19" i="17"/>
  <c r="AM92" i="13"/>
  <c r="AT106" i="17"/>
  <c r="AN116" i="23"/>
  <c r="AN70" i="29"/>
  <c r="C43" i="25"/>
  <c r="BA55" i="46"/>
  <c r="AJ84" i="29"/>
  <c r="AN50" i="23"/>
  <c r="AM99" i="13"/>
  <c r="AL49" i="17"/>
  <c r="AN62" i="23"/>
  <c r="AL47" i="17"/>
  <c r="AT129" i="27"/>
  <c r="AB5" i="29"/>
  <c r="AJ13" i="13"/>
  <c r="Z19" i="22"/>
  <c r="AN80" i="29"/>
  <c r="AS39" i="28"/>
  <c r="AN57" i="29"/>
  <c r="AN56" i="13"/>
  <c r="AL44" i="17"/>
  <c r="AJ15" i="29"/>
  <c r="AJ10" i="13"/>
  <c r="AN63" i="29"/>
  <c r="AU71" i="17"/>
  <c r="BB35" i="46"/>
  <c r="AS35" i="19"/>
  <c r="AT113" i="27"/>
  <c r="AJ92" i="29"/>
  <c r="AM32" i="29"/>
  <c r="V90" i="29"/>
  <c r="AK21" i="28"/>
  <c r="AN80" i="23"/>
  <c r="Z14" i="28"/>
  <c r="AF7" i="9"/>
  <c r="BB60" i="46"/>
  <c r="AG106" i="22"/>
  <c r="AT73" i="27"/>
  <c r="AT112" i="17"/>
  <c r="AT79" i="46"/>
  <c r="AT49" i="46"/>
  <c r="BA26" i="46"/>
  <c r="AS51" i="27"/>
  <c r="BA68" i="46"/>
  <c r="AN118" i="23"/>
  <c r="Z18" i="17"/>
  <c r="AT38" i="27"/>
  <c r="AL28" i="12"/>
  <c r="AN44" i="10"/>
  <c r="AT51" i="46"/>
  <c r="C33" i="25"/>
  <c r="AJ51" i="29"/>
  <c r="AL38" i="25"/>
  <c r="AH35" i="23"/>
  <c r="V42" i="29"/>
  <c r="AA20" i="24"/>
  <c r="AM28" i="38"/>
  <c r="AN69" i="23"/>
  <c r="AN45" i="29"/>
  <c r="AS86" i="19"/>
  <c r="AL43" i="25"/>
  <c r="AB54" i="29"/>
  <c r="BF18" i="45"/>
  <c r="AJ56" i="13"/>
  <c r="AN60" i="13"/>
  <c r="BB87" i="46"/>
  <c r="AR61" i="19"/>
  <c r="BB63" i="46"/>
  <c r="AP42" i="25"/>
  <c r="AU54" i="17"/>
  <c r="AU46" i="17"/>
  <c r="AR57" i="19"/>
  <c r="AG36" i="22"/>
  <c r="AR22" i="19"/>
  <c r="AS85" i="19"/>
  <c r="AT90" i="17"/>
  <c r="BB49" i="46"/>
  <c r="AJ82" i="29"/>
  <c r="AS33" i="28"/>
  <c r="AS31" i="19"/>
  <c r="BB7" i="46"/>
  <c r="Z9" i="23"/>
  <c r="AJ69" i="29"/>
  <c r="AV12" i="18"/>
  <c r="AR32" i="19"/>
  <c r="AT90" i="27"/>
  <c r="C18" i="25"/>
  <c r="Z8" i="23"/>
  <c r="AO93" i="23"/>
  <c r="Z8" i="17"/>
  <c r="V77" i="29"/>
  <c r="AS34" i="28"/>
  <c r="AJ82" i="13"/>
  <c r="BF7" i="45"/>
  <c r="AT93" i="46"/>
  <c r="AG50" i="24"/>
  <c r="AN7" i="13"/>
  <c r="AT65" i="27"/>
  <c r="AS69" i="27"/>
  <c r="AM59" i="13"/>
  <c r="Z11" i="38"/>
  <c r="BG12" i="45"/>
  <c r="AR80" i="19"/>
  <c r="AA21" i="24"/>
  <c r="AF26" i="10"/>
  <c r="BA97" i="46"/>
  <c r="AG79" i="22"/>
  <c r="AT95" i="46"/>
  <c r="AN124" i="23"/>
  <c r="Z27" i="17"/>
  <c r="AS122" i="27"/>
  <c r="AS90" i="27"/>
  <c r="AM94" i="29"/>
  <c r="AN35" i="13"/>
  <c r="AU106" i="17"/>
  <c r="C42" i="25"/>
  <c r="AU97" i="17"/>
  <c r="AB66" i="29"/>
  <c r="AP28" i="25"/>
  <c r="AU91" i="17"/>
  <c r="AG62" i="24"/>
  <c r="AJ46" i="13"/>
  <c r="AS26" i="19"/>
  <c r="AT97" i="46"/>
  <c r="AM36" i="29"/>
  <c r="AO86" i="23"/>
  <c r="AO94" i="23"/>
  <c r="AU92" i="17"/>
  <c r="AL30" i="12"/>
  <c r="V18" i="29"/>
  <c r="AR46" i="19"/>
  <c r="AM32" i="13"/>
  <c r="BB19" i="46"/>
  <c r="Z23" i="23"/>
  <c r="AL7" i="25"/>
  <c r="AT33" i="46"/>
  <c r="Z13" i="22"/>
  <c r="AW22" i="18"/>
  <c r="AN51" i="10"/>
  <c r="AL18" i="25"/>
  <c r="Z28" i="22"/>
  <c r="AN48" i="13"/>
  <c r="AM21" i="38"/>
  <c r="BA45" i="46"/>
  <c r="AN70" i="13"/>
  <c r="AT55" i="17"/>
  <c r="AA27" i="24"/>
  <c r="Z13" i="27"/>
  <c r="AU67" i="17"/>
  <c r="BA74" i="46"/>
  <c r="AU45" i="17"/>
  <c r="AU93" i="17"/>
  <c r="Z24" i="27"/>
  <c r="AM81" i="13"/>
  <c r="AT22" i="46"/>
  <c r="AG45" i="24"/>
  <c r="Z24" i="17"/>
  <c r="Z8" i="27"/>
  <c r="AM96" i="29"/>
  <c r="Z26" i="27"/>
  <c r="AN128" i="23"/>
  <c r="AM35" i="38"/>
  <c r="AO88" i="23"/>
  <c r="AN54" i="23"/>
  <c r="AY28" i="45"/>
  <c r="AT46" i="28"/>
  <c r="AN71" i="29"/>
  <c r="AN71" i="23"/>
  <c r="AN34" i="38"/>
  <c r="AS9" i="19"/>
  <c r="AS125" i="27"/>
  <c r="AM97" i="29"/>
  <c r="AJ12" i="29"/>
  <c r="AM24" i="29"/>
  <c r="AS114" i="27"/>
  <c r="AL22" i="12"/>
  <c r="AG71" i="22"/>
  <c r="AO36" i="23"/>
  <c r="AN74" i="29"/>
  <c r="AG67" i="22"/>
  <c r="AT77" i="17"/>
  <c r="AK37" i="27"/>
  <c r="AM33" i="29"/>
  <c r="AN22" i="13"/>
  <c r="AU65" i="17"/>
  <c r="AM23" i="13"/>
  <c r="AR9" i="19"/>
  <c r="AR12" i="19"/>
  <c r="AN32" i="29"/>
  <c r="AJ47" i="13"/>
  <c r="AJ27" i="13"/>
  <c r="AT88" i="17"/>
  <c r="AJ33" i="13"/>
  <c r="BA85" i="46"/>
  <c r="AM15" i="29"/>
  <c r="B27" i="25"/>
  <c r="AN115" i="23"/>
  <c r="BG17" i="45"/>
  <c r="AR47" i="19"/>
  <c r="BB74" i="46"/>
  <c r="AN48" i="29"/>
  <c r="AA43" i="22"/>
  <c r="AN28" i="38"/>
  <c r="AT26" i="46"/>
  <c r="AU116" i="17"/>
  <c r="AG55" i="22"/>
  <c r="AT40" i="28"/>
  <c r="AT37" i="46"/>
  <c r="Z16" i="17"/>
  <c r="Z20" i="17"/>
  <c r="Z10" i="23"/>
  <c r="AK54" i="27"/>
  <c r="AT123" i="27"/>
  <c r="AR56" i="19"/>
  <c r="AR43" i="19"/>
  <c r="AV33" i="18"/>
  <c r="AO10" i="12"/>
  <c r="AS63" i="27"/>
  <c r="BB8" i="46"/>
  <c r="AT10" i="46"/>
  <c r="AP23" i="12"/>
  <c r="AV8" i="18"/>
  <c r="AN125" i="23"/>
  <c r="AT21" i="28"/>
  <c r="AS37" i="19"/>
  <c r="AN21" i="13"/>
  <c r="AJ19" i="29"/>
  <c r="AY32" i="45"/>
  <c r="AM58" i="13"/>
  <c r="AO16" i="12"/>
  <c r="AA11" i="10"/>
  <c r="AN50" i="13"/>
  <c r="AO118" i="23"/>
  <c r="AP10" i="12"/>
  <c r="AT85" i="46"/>
  <c r="AG132" i="22"/>
  <c r="BA14" i="46"/>
  <c r="AO7" i="25"/>
  <c r="AM43" i="29"/>
  <c r="AR81" i="19"/>
  <c r="BB15" i="46"/>
  <c r="BA67" i="46"/>
  <c r="AR60" i="19"/>
  <c r="Z16" i="23"/>
  <c r="AT26" i="28"/>
  <c r="A17" i="25"/>
  <c r="AS116" i="27"/>
  <c r="BG43" i="45"/>
  <c r="AL17" i="12"/>
  <c r="BA79" i="46"/>
  <c r="AJ13" i="29"/>
  <c r="BF38" i="45"/>
  <c r="AO17" i="12"/>
  <c r="AN32" i="13"/>
  <c r="AS21" i="19"/>
  <c r="AT128" i="27"/>
  <c r="B37" i="25"/>
  <c r="AV13" i="18"/>
  <c r="AT43" i="46"/>
  <c r="BA73" i="46"/>
  <c r="AN79" i="13"/>
  <c r="BA21" i="46"/>
  <c r="AM41" i="38"/>
  <c r="AT77" i="27"/>
  <c r="AS97" i="27"/>
  <c r="AM72" i="29"/>
  <c r="AU38" i="17"/>
  <c r="BB48" i="46"/>
  <c r="AT63" i="46"/>
  <c r="AJ32" i="29"/>
  <c r="AN69" i="29"/>
  <c r="AT117" i="17"/>
  <c r="AB30" i="29"/>
  <c r="AT118" i="27"/>
  <c r="AR35" i="19"/>
  <c r="AT81" i="46"/>
  <c r="AT15" i="46"/>
  <c r="BB97" i="46"/>
  <c r="AS37" i="27"/>
  <c r="AA42" i="22"/>
  <c r="AT105" i="27"/>
  <c r="AL29" i="12"/>
  <c r="BB22" i="46"/>
  <c r="AN25" i="29"/>
  <c r="AM79" i="13"/>
  <c r="AJ38" i="13"/>
  <c r="Z15" i="27"/>
  <c r="AG51" i="22"/>
  <c r="AT101" i="27"/>
  <c r="AJ43" i="13"/>
  <c r="AT62" i="27"/>
  <c r="A33" i="25"/>
  <c r="AT133" i="27"/>
  <c r="AY17" i="45"/>
  <c r="AN93" i="29"/>
  <c r="AN75" i="13"/>
  <c r="AS62" i="19"/>
  <c r="AP43" i="25"/>
  <c r="AS48" i="19"/>
  <c r="AG81" i="22"/>
  <c r="BG7" i="45"/>
  <c r="AA55" i="22"/>
  <c r="AG64" i="24"/>
  <c r="AS59" i="19"/>
  <c r="AG128" i="22"/>
  <c r="AO51" i="23"/>
  <c r="AO98" i="23"/>
  <c r="A42" i="25"/>
  <c r="AG56" i="24"/>
  <c r="AS25" i="19"/>
  <c r="AM7" i="29"/>
  <c r="BA63" i="46"/>
  <c r="AK20" i="28"/>
  <c r="Z28" i="17"/>
  <c r="Y7" i="16"/>
  <c r="AT88" i="27"/>
  <c r="AT66" i="27"/>
  <c r="AS44" i="19"/>
  <c r="AA28" i="24"/>
  <c r="Z17" i="23"/>
  <c r="AR19" i="19"/>
  <c r="AL34" i="17"/>
  <c r="AU39" i="17"/>
  <c r="AS36" i="19"/>
  <c r="BF27" i="45"/>
  <c r="AR10" i="19"/>
  <c r="AN41" i="38"/>
  <c r="AR68" i="19"/>
  <c r="AF20" i="10"/>
  <c r="AT53" i="27"/>
  <c r="BB70" i="46"/>
  <c r="AN92" i="23"/>
  <c r="AG69" i="22"/>
  <c r="AO66" i="23"/>
  <c r="BB82" i="46"/>
  <c r="AT63" i="17"/>
  <c r="BB79" i="46"/>
  <c r="AK46" i="27"/>
  <c r="AU63" i="17"/>
  <c r="AL51" i="17"/>
  <c r="AG44" i="24"/>
  <c r="BB34" i="46"/>
  <c r="AM49" i="29"/>
  <c r="AN22" i="29"/>
  <c r="AM9" i="29"/>
  <c r="BA87" i="46"/>
  <c r="AS60" i="19"/>
  <c r="AN80" i="13"/>
  <c r="AN15" i="29"/>
  <c r="BA49" i="46"/>
  <c r="AJ44" i="29"/>
  <c r="AT122" i="27"/>
  <c r="AT96" i="27"/>
  <c r="AJ71" i="29"/>
  <c r="AN12" i="29"/>
  <c r="AT70" i="17"/>
  <c r="AJ96" i="29"/>
  <c r="AS73" i="19"/>
  <c r="AU117" i="17"/>
  <c r="AG39" i="22"/>
  <c r="AH47" i="23"/>
  <c r="AO105" i="23"/>
  <c r="AJ31" i="29"/>
  <c r="BA33" i="46"/>
  <c r="AJ48" i="29"/>
  <c r="AS72" i="27"/>
  <c r="AR82" i="19"/>
  <c r="AT57" i="46"/>
  <c r="AV17" i="18"/>
  <c r="AT8" i="46"/>
  <c r="AG93" i="22"/>
  <c r="AM74" i="29"/>
  <c r="AH44" i="23"/>
  <c r="AN85" i="29"/>
  <c r="AG51" i="24"/>
  <c r="AJ14" i="13"/>
  <c r="AN21" i="10"/>
  <c r="AJ31" i="13"/>
  <c r="AN41" i="23"/>
  <c r="AG117" i="22"/>
  <c r="AN129" i="23"/>
  <c r="B32" i="25"/>
  <c r="AT99" i="17"/>
  <c r="AN27" i="38"/>
  <c r="AU94" i="17"/>
  <c r="AS7" i="19"/>
  <c r="BB55" i="46"/>
  <c r="AS76" i="27"/>
  <c r="AT92" i="27"/>
  <c r="AN35" i="38"/>
  <c r="AW7" i="18"/>
  <c r="AT62" i="46"/>
  <c r="AO95" i="23"/>
  <c r="AN86" i="13"/>
  <c r="AJ22" i="13"/>
  <c r="AJ32" i="13"/>
  <c r="AO22" i="12"/>
  <c r="AJ91" i="29"/>
  <c r="AM42" i="38"/>
  <c r="AN61" i="23"/>
  <c r="AT23" i="46"/>
  <c r="AG89" i="22"/>
  <c r="AN59" i="13"/>
  <c r="AM21" i="13"/>
  <c r="C28" i="25"/>
  <c r="AS69" i="19"/>
  <c r="Z11" i="17"/>
  <c r="AJ51" i="13"/>
  <c r="AO42" i="23"/>
  <c r="AA13" i="10"/>
  <c r="BA32" i="46"/>
  <c r="AN64" i="10"/>
  <c r="AT47" i="17"/>
  <c r="BF12" i="45"/>
  <c r="AL37" i="17"/>
  <c r="AN79" i="23"/>
  <c r="AO72" i="23"/>
  <c r="AT35" i="27"/>
  <c r="AK40" i="27"/>
  <c r="AS68" i="19"/>
  <c r="AO43" i="25"/>
  <c r="AG120" i="22"/>
  <c r="AJ49" i="13"/>
  <c r="AT42" i="17"/>
  <c r="BA31" i="46"/>
  <c r="BF37" i="45"/>
  <c r="AR74" i="19"/>
  <c r="AU70" i="17"/>
  <c r="Z14" i="17"/>
  <c r="AS43" i="19"/>
  <c r="AN60" i="29"/>
  <c r="AG40" i="22"/>
  <c r="AL13" i="25"/>
  <c r="AV28" i="18"/>
  <c r="AT73" i="46"/>
  <c r="AT21" i="46"/>
  <c r="AH41" i="23"/>
  <c r="AM22" i="38"/>
  <c r="AJ45" i="13"/>
  <c r="BB68" i="46"/>
  <c r="AM86" i="13"/>
  <c r="AS20" i="28"/>
  <c r="AT34" i="17"/>
  <c r="AS35" i="28"/>
  <c r="AS79" i="19"/>
  <c r="AJ86" i="29"/>
  <c r="BA48" i="46"/>
  <c r="AN97" i="29"/>
  <c r="AN61" i="29"/>
  <c r="AJ10" i="29"/>
  <c r="AA11" i="24"/>
  <c r="AL50" i="17"/>
  <c r="AT86" i="46"/>
  <c r="AS71" i="27"/>
  <c r="BF43" i="45"/>
  <c r="AT125" i="17"/>
  <c r="AL55" i="17"/>
  <c r="AN42" i="38"/>
  <c r="AJ79" i="29"/>
  <c r="AN67" i="13"/>
  <c r="BA50" i="46"/>
  <c r="AM36" i="13"/>
  <c r="AN22" i="10"/>
  <c r="AP37" i="25"/>
  <c r="BA70" i="46"/>
  <c r="AN92" i="13"/>
  <c r="AN84" i="29"/>
  <c r="AT41" i="27"/>
  <c r="AS50" i="19"/>
  <c r="AN75" i="29"/>
  <c r="AT86" i="27"/>
  <c r="AN11" i="29"/>
  <c r="Z8" i="28"/>
  <c r="AS38" i="27"/>
  <c r="AG92" i="22"/>
  <c r="AG95" i="22"/>
  <c r="Y13" i="16"/>
  <c r="AR70" i="19"/>
  <c r="BB26" i="46"/>
  <c r="AN99" i="23"/>
  <c r="AM91" i="29"/>
  <c r="AO38" i="25"/>
  <c r="AT91" i="46"/>
  <c r="AY18" i="45"/>
  <c r="AS74" i="19"/>
  <c r="AT81" i="17"/>
  <c r="AT62" i="17"/>
  <c r="A18" i="25"/>
  <c r="AN43" i="13"/>
  <c r="AO46" i="23"/>
  <c r="AS49" i="27"/>
  <c r="AR58" i="19"/>
  <c r="AJ62" i="13"/>
  <c r="AJ47" i="29"/>
  <c r="AF6" i="9"/>
  <c r="AT44" i="27"/>
  <c r="AM96" i="13"/>
  <c r="BG28" i="45"/>
  <c r="C32" i="25"/>
  <c r="AT128" i="17"/>
  <c r="AK50" i="27"/>
  <c r="AS120" i="27"/>
  <c r="AF22" i="10"/>
  <c r="AL53" i="17"/>
  <c r="AJ20" i="13"/>
  <c r="AS52" i="28"/>
  <c r="AG96" i="22"/>
  <c r="AM26" i="13"/>
  <c r="AO124" i="23"/>
  <c r="AL21" i="12"/>
  <c r="AL45" i="17"/>
  <c r="BG33" i="45"/>
  <c r="AO125" i="23"/>
  <c r="BA71" i="46"/>
  <c r="BA13" i="46"/>
  <c r="AM24" i="13"/>
  <c r="BG18" i="45"/>
  <c r="AT58" i="46"/>
  <c r="AV23" i="18"/>
  <c r="Z17" i="27"/>
  <c r="AM34" i="29"/>
  <c r="AT65" i="28"/>
  <c r="AV7" i="18"/>
  <c r="AM95" i="29"/>
  <c r="AA7" i="24"/>
  <c r="AS82" i="19"/>
  <c r="AS55" i="19"/>
  <c r="AO7" i="12"/>
  <c r="AR72" i="19"/>
  <c r="AN99" i="29"/>
  <c r="AT52" i="28"/>
  <c r="BG42" i="45"/>
  <c r="AS34" i="19"/>
  <c r="AO32" i="25"/>
  <c r="AJ68" i="13"/>
  <c r="B13" i="25"/>
  <c r="BA56" i="46"/>
  <c r="AT20" i="46"/>
  <c r="AS55" i="27"/>
  <c r="AH36" i="23"/>
  <c r="AJ71" i="13"/>
  <c r="BB36" i="46"/>
  <c r="AS70" i="19"/>
  <c r="AA8" i="24"/>
  <c r="BB84" i="46"/>
  <c r="AR15" i="19"/>
  <c r="A37" i="25"/>
  <c r="AA8" i="10"/>
  <c r="AH39" i="23"/>
  <c r="AL15" i="12"/>
  <c r="AR73" i="19"/>
  <c r="AM13" i="13"/>
  <c r="AR79" i="19"/>
  <c r="AT80" i="27"/>
  <c r="AM35" i="13"/>
  <c r="AU124" i="17"/>
  <c r="AJ63" i="29"/>
  <c r="AT69" i="27"/>
  <c r="AA10" i="24"/>
  <c r="Z13" i="28"/>
  <c r="AS60" i="28"/>
  <c r="AT35" i="17"/>
  <c r="AU49" i="17"/>
  <c r="AM44" i="29"/>
  <c r="AL42" i="25"/>
  <c r="AN19" i="13"/>
  <c r="Z11" i="23"/>
  <c r="C13" i="25"/>
  <c r="AP31" i="12"/>
  <c r="AS40" i="28"/>
  <c r="AO28" i="25"/>
  <c r="AM84" i="29"/>
  <c r="AM39" i="13"/>
  <c r="AT54" i="27"/>
  <c r="AS92" i="19"/>
  <c r="BB23" i="46"/>
  <c r="AJ36" i="29"/>
  <c r="AN63" i="13"/>
  <c r="AN44" i="29"/>
  <c r="AK44" i="27"/>
  <c r="AR84" i="19"/>
  <c r="AO89" i="23"/>
  <c r="AL35" i="17"/>
  <c r="AM37" i="13"/>
  <c r="AT132" i="27"/>
  <c r="AL28" i="25"/>
  <c r="AY43" i="45"/>
  <c r="AU95" i="17"/>
  <c r="AM27" i="38"/>
  <c r="AE8" i="9"/>
  <c r="AA50" i="22"/>
  <c r="AM48" i="29"/>
  <c r="AG20" i="24"/>
  <c r="AG72" i="22"/>
  <c r="AL33" i="25"/>
  <c r="AC6" i="9"/>
  <c r="AN15" i="13"/>
  <c r="AN34" i="29"/>
  <c r="AM7" i="13"/>
  <c r="AT15" i="13" l="1"/>
  <c r="AU6" i="9"/>
  <c r="AJ72" i="22"/>
  <c r="AJ50" i="22"/>
  <c r="AS27" i="38"/>
  <c r="AX35" i="17"/>
  <c r="AY44" i="27"/>
  <c r="AT63" i="13"/>
  <c r="BH23" i="46"/>
  <c r="AW92" i="19"/>
  <c r="AY40" i="28"/>
  <c r="AV31" i="12"/>
  <c r="Z13" i="25"/>
  <c r="Q13" i="25"/>
  <c r="AT11" i="23"/>
  <c r="AT19" i="13"/>
  <c r="AY60" i="28"/>
  <c r="AY13" i="28"/>
  <c r="AJ10" i="24"/>
  <c r="AT39" i="23"/>
  <c r="AQ8" i="10"/>
  <c r="BH84" i="46"/>
  <c r="AJ8" i="24"/>
  <c r="AW70" i="19"/>
  <c r="BH36" i="46"/>
  <c r="AT36" i="23"/>
  <c r="AW34" i="19"/>
  <c r="BM42" i="45"/>
  <c r="AW55" i="19"/>
  <c r="AW82" i="19"/>
  <c r="AJ7" i="24"/>
  <c r="AY17" i="27"/>
  <c r="BM18" i="45"/>
  <c r="BM33" i="45"/>
  <c r="AX45" i="17"/>
  <c r="AJ96" i="22"/>
  <c r="AY52" i="28"/>
  <c r="AX53" i="17"/>
  <c r="AQ22" i="10"/>
  <c r="AY120" i="27"/>
  <c r="AY50" i="27"/>
  <c r="AX128" i="17"/>
  <c r="Z32" i="25"/>
  <c r="Q32" i="25"/>
  <c r="BM28" i="45"/>
  <c r="AT43" i="13"/>
  <c r="AX62" i="17"/>
  <c r="AX81" i="17"/>
  <c r="AW74" i="19"/>
  <c r="AT99" i="23"/>
  <c r="BH26" i="46"/>
  <c r="AI13" i="16"/>
  <c r="AJ95" i="22"/>
  <c r="AJ92" i="22"/>
  <c r="AY8" i="28"/>
  <c r="AW50" i="19"/>
  <c r="AT92" i="13"/>
  <c r="AT67" i="13"/>
  <c r="AS42" i="38"/>
  <c r="AX55" i="17"/>
  <c r="AX125" i="17"/>
  <c r="AY71" i="27"/>
  <c r="AX50" i="17"/>
  <c r="AJ11" i="24"/>
  <c r="AW79" i="19"/>
  <c r="AY35" i="28"/>
  <c r="BH68" i="46"/>
  <c r="AT41" i="23"/>
  <c r="AW43" i="19"/>
  <c r="AA14" i="17"/>
  <c r="AJ120" i="22"/>
  <c r="AW68" i="19"/>
  <c r="AY40" i="27"/>
  <c r="AT79" i="23"/>
  <c r="AX37" i="17"/>
  <c r="AQ64" i="10"/>
  <c r="AQ13" i="10"/>
  <c r="AA11" i="17"/>
  <c r="AW69" i="19"/>
  <c r="Z28" i="25"/>
  <c r="Q28" i="25"/>
  <c r="AT59" i="13"/>
  <c r="AJ89" i="22"/>
  <c r="AT61" i="23"/>
  <c r="AT86" i="13"/>
  <c r="BA7" i="18"/>
  <c r="AY76" i="27"/>
  <c r="BH55" i="46"/>
  <c r="AW7" i="19"/>
  <c r="AX99" i="17"/>
  <c r="AT129" i="23"/>
  <c r="AJ117" i="22"/>
  <c r="AJ51" i="24"/>
  <c r="AT44" i="23"/>
  <c r="AJ93" i="22"/>
  <c r="AY72" i="27"/>
  <c r="AT47" i="23"/>
  <c r="AW73" i="19"/>
  <c r="AX70" i="17"/>
  <c r="AT80" i="13"/>
  <c r="AW60" i="19"/>
  <c r="BH34" i="46"/>
  <c r="AJ44" i="24"/>
  <c r="AX51" i="17"/>
  <c r="AY46" i="27"/>
  <c r="BH79" i="46"/>
  <c r="AX63" i="17"/>
  <c r="BH82" i="46"/>
  <c r="AJ69" i="22"/>
  <c r="AT92" i="23"/>
  <c r="BH70" i="46"/>
  <c r="AQ20" i="10"/>
  <c r="AS41" i="38"/>
  <c r="AW36" i="19"/>
  <c r="AX34" i="17"/>
  <c r="AT17" i="23"/>
  <c r="AJ28" i="24"/>
  <c r="AW44" i="19"/>
  <c r="AI7" i="16"/>
  <c r="AA28" i="17"/>
  <c r="AY20" i="28"/>
  <c r="AW25" i="19"/>
  <c r="AJ56" i="24"/>
  <c r="AJ128" i="22"/>
  <c r="AW59" i="19"/>
  <c r="AJ64" i="24"/>
  <c r="AJ55" i="22"/>
  <c r="BM7" i="45"/>
  <c r="AJ81" i="22"/>
  <c r="AW48" i="19"/>
  <c r="AW62" i="19"/>
  <c r="AT75" i="13"/>
  <c r="AY15" i="27"/>
  <c r="BH22" i="46"/>
  <c r="AJ42" i="22"/>
  <c r="BH97" i="46"/>
  <c r="AX117" i="17"/>
  <c r="BH48" i="46"/>
  <c r="AY97" i="27"/>
  <c r="AT79" i="13"/>
  <c r="AW21" i="19"/>
  <c r="AT32" i="13"/>
  <c r="BM43" i="45"/>
  <c r="AY116" i="27"/>
  <c r="AT16" i="23"/>
  <c r="BH15" i="46"/>
  <c r="AJ132" i="22"/>
  <c r="AV10" i="12"/>
  <c r="AT50" i="13"/>
  <c r="AQ11" i="10"/>
  <c r="AT21" i="13"/>
  <c r="AW37" i="19"/>
  <c r="AT125" i="23"/>
  <c r="AV23" i="12"/>
  <c r="BH8" i="46"/>
  <c r="AY63" i="27"/>
  <c r="AY54" i="27"/>
  <c r="AT10" i="23"/>
  <c r="AA20" i="17"/>
  <c r="AA16" i="17"/>
  <c r="AJ43" i="22"/>
  <c r="BH74" i="46"/>
  <c r="BM17" i="45"/>
  <c r="AT115" i="23"/>
  <c r="AX88" i="17"/>
  <c r="AT22" i="13"/>
  <c r="AY37" i="27"/>
  <c r="AX77" i="17"/>
  <c r="AJ67" i="22"/>
  <c r="AJ71" i="22"/>
  <c r="AY114" i="27"/>
  <c r="AY125" i="27"/>
  <c r="AW9" i="19"/>
  <c r="AT71" i="23"/>
  <c r="AS35" i="38"/>
  <c r="AT128" i="23"/>
  <c r="AY26" i="27"/>
  <c r="AY8" i="27"/>
  <c r="AA24" i="17"/>
  <c r="AJ45" i="24"/>
  <c r="AY24" i="27"/>
  <c r="AY13" i="27"/>
  <c r="AJ27" i="24"/>
  <c r="AT70" i="13"/>
  <c r="AT48" i="13"/>
  <c r="AJ28" i="22"/>
  <c r="AQ51" i="10"/>
  <c r="BA22" i="18"/>
  <c r="AJ13" i="22"/>
  <c r="AT23" i="23"/>
  <c r="BH19" i="46"/>
  <c r="AW26" i="19"/>
  <c r="AJ62" i="24"/>
  <c r="Z42" i="25"/>
  <c r="Q42" i="25"/>
  <c r="AT35" i="13"/>
  <c r="AY90" i="27"/>
  <c r="AY122" i="27"/>
  <c r="AA27" i="17"/>
  <c r="AT124" i="23"/>
  <c r="AJ79" i="22"/>
  <c r="AQ26" i="10"/>
  <c r="AJ21" i="24"/>
  <c r="BM12" i="45"/>
  <c r="AS11" i="38"/>
  <c r="AY69" i="27"/>
  <c r="AT7" i="13"/>
  <c r="AJ50" i="24"/>
  <c r="AY34" i="28"/>
  <c r="V86" i="29"/>
  <c r="Y86" i="29" s="1"/>
  <c r="W80" i="29"/>
  <c r="Z80" i="29" s="1"/>
  <c r="W85" i="29"/>
  <c r="Z85" i="29" s="1"/>
  <c r="V79" i="29"/>
  <c r="Y79" i="29" s="1"/>
  <c r="W82" i="29"/>
  <c r="Z82" i="29" s="1"/>
  <c r="V82" i="29"/>
  <c r="Y82" i="29" s="1"/>
  <c r="W83" i="29"/>
  <c r="Z83" i="29" s="1"/>
  <c r="W84" i="29"/>
  <c r="Z84" i="29" s="1"/>
  <c r="W79" i="29"/>
  <c r="Z79" i="29" s="1"/>
  <c r="V81" i="29"/>
  <c r="Y81" i="29" s="1"/>
  <c r="V84" i="29"/>
  <c r="Y84" i="29" s="1"/>
  <c r="W87" i="29"/>
  <c r="Z87" i="29" s="1"/>
  <c r="W81" i="29"/>
  <c r="Z81" i="29" s="1"/>
  <c r="W86" i="29"/>
  <c r="Z86" i="29" s="1"/>
  <c r="V85" i="29"/>
  <c r="Y85" i="29" s="1"/>
  <c r="V83" i="29"/>
  <c r="Y83" i="29" s="1"/>
  <c r="V87" i="29"/>
  <c r="Y87" i="29" s="1"/>
  <c r="V80" i="29"/>
  <c r="Y80" i="29" s="1"/>
  <c r="AA8" i="17"/>
  <c r="AT8" i="23"/>
  <c r="Z18" i="25"/>
  <c r="Q18" i="25"/>
  <c r="AT9" i="23"/>
  <c r="BH7" i="46"/>
  <c r="AW31" i="19"/>
  <c r="AY33" i="28"/>
  <c r="BH49" i="46"/>
  <c r="AX90" i="17"/>
  <c r="AW85" i="19"/>
  <c r="BH63" i="46"/>
  <c r="BH87" i="46"/>
  <c r="AT60" i="13"/>
  <c r="AW86" i="19"/>
  <c r="AT69" i="23"/>
  <c r="AS28" i="38"/>
  <c r="AJ20" i="24"/>
  <c r="AT35" i="23"/>
  <c r="Z33" i="25"/>
  <c r="Q33" i="25"/>
  <c r="AQ44" i="10"/>
  <c r="AA18" i="17"/>
  <c r="AT118" i="23"/>
  <c r="AX112" i="17"/>
  <c r="AJ106" i="22"/>
  <c r="BH60" i="46"/>
  <c r="AY14" i="28"/>
  <c r="AT80" i="23"/>
  <c r="AY21" i="28"/>
  <c r="AW35" i="19"/>
  <c r="BH35" i="46"/>
  <c r="AX44" i="17"/>
  <c r="AT56" i="13"/>
  <c r="AY39" i="28"/>
  <c r="AJ19" i="22"/>
  <c r="AC13" i="29"/>
  <c r="AF13" i="29" s="1"/>
  <c r="AC7" i="29"/>
  <c r="AF7" i="29" s="1"/>
  <c r="AB15" i="29"/>
  <c r="AE15" i="29" s="1"/>
  <c r="AC8" i="29"/>
  <c r="AF8" i="29" s="1"/>
  <c r="AC14" i="29"/>
  <c r="AF14" i="29" s="1"/>
  <c r="AB11" i="29"/>
  <c r="AE11" i="29" s="1"/>
  <c r="AB10" i="29"/>
  <c r="AE10" i="29" s="1"/>
  <c r="AB7" i="29"/>
  <c r="AE7" i="29" s="1"/>
  <c r="AB9" i="29"/>
  <c r="AE9" i="29" s="1"/>
  <c r="AB13" i="29"/>
  <c r="AE13" i="29" s="1"/>
  <c r="AC9" i="29"/>
  <c r="AF9" i="29" s="1"/>
  <c r="AC12" i="29"/>
  <c r="AF12" i="29" s="1"/>
  <c r="AC15" i="29"/>
  <c r="AF15" i="29" s="1"/>
  <c r="AB14" i="29"/>
  <c r="AE14" i="29" s="1"/>
  <c r="AB12" i="29"/>
  <c r="AE12" i="29" s="1"/>
  <c r="AC11" i="29"/>
  <c r="AF11" i="29" s="1"/>
  <c r="AC10" i="29"/>
  <c r="AF10" i="29" s="1"/>
  <c r="AB8" i="29"/>
  <c r="AE8" i="29" s="1"/>
  <c r="AX47" i="17"/>
  <c r="AT62" i="23"/>
  <c r="AX49" i="17"/>
  <c r="Q43" i="25"/>
  <c r="Z43" i="25"/>
  <c r="AT116" i="23"/>
  <c r="AX106" i="17"/>
  <c r="AA19" i="17"/>
  <c r="AW46" i="19"/>
  <c r="Q23" i="25"/>
  <c r="Z23" i="25"/>
  <c r="AY132" i="27"/>
  <c r="W67" i="29"/>
  <c r="Z67" i="29" s="1"/>
  <c r="W71" i="29"/>
  <c r="Z71" i="29" s="1"/>
  <c r="V74" i="29"/>
  <c r="Y74" i="29" s="1"/>
  <c r="W74" i="29"/>
  <c r="Z74" i="29" s="1"/>
  <c r="W72" i="29"/>
  <c r="Z72" i="29" s="1"/>
  <c r="V70" i="29"/>
  <c r="Y70" i="29" s="1"/>
  <c r="V71" i="29"/>
  <c r="Y71" i="29" s="1"/>
  <c r="W70" i="29"/>
  <c r="Z70" i="29" s="1"/>
  <c r="V69" i="29"/>
  <c r="Y69" i="29" s="1"/>
  <c r="V75" i="29"/>
  <c r="Y75" i="29" s="1"/>
  <c r="W75" i="29"/>
  <c r="Z75" i="29" s="1"/>
  <c r="W69" i="29"/>
  <c r="Z69" i="29" s="1"/>
  <c r="V73" i="29"/>
  <c r="Y73" i="29" s="1"/>
  <c r="V67" i="29"/>
  <c r="Y67" i="29" s="1"/>
  <c r="W73" i="29"/>
  <c r="Z73" i="29" s="1"/>
  <c r="W68" i="29"/>
  <c r="Z68" i="29" s="1"/>
  <c r="V72" i="29"/>
  <c r="Y72" i="29" s="1"/>
  <c r="V68" i="29"/>
  <c r="Y68" i="29" s="1"/>
  <c r="AQ27" i="10"/>
  <c r="AQ56" i="10"/>
  <c r="AW13" i="19"/>
  <c r="BA23" i="18"/>
  <c r="AY11" i="28"/>
  <c r="AJ66" i="22"/>
  <c r="BH31" i="46"/>
  <c r="AW39" i="19"/>
  <c r="BH47" i="46"/>
  <c r="AS36" i="38"/>
  <c r="BH93" i="46"/>
  <c r="AJ62" i="22"/>
  <c r="AY43" i="27"/>
  <c r="AT46" i="13"/>
  <c r="AQ62" i="10"/>
  <c r="AT84" i="13"/>
  <c r="Q38" i="25"/>
  <c r="Z38" i="25"/>
  <c r="AX68" i="17"/>
  <c r="AY86" i="27"/>
  <c r="AY99" i="27"/>
  <c r="AW11" i="19"/>
  <c r="AX95" i="17"/>
  <c r="AT106" i="23"/>
  <c r="AJ10" i="22"/>
  <c r="AA26" i="17"/>
  <c r="AX61" i="17"/>
  <c r="AY65" i="27"/>
  <c r="BH12" i="46"/>
  <c r="AX114" i="17"/>
  <c r="AY89" i="27"/>
  <c r="AJ88" i="22"/>
  <c r="AT20" i="13"/>
  <c r="BA37" i="18"/>
  <c r="Q37" i="25"/>
  <c r="Z37" i="25"/>
  <c r="BH95" i="46"/>
  <c r="AY49" i="27"/>
  <c r="BA33" i="18"/>
  <c r="BM32" i="45"/>
  <c r="BH92" i="46"/>
  <c r="BA8" i="18"/>
  <c r="BH24" i="46"/>
  <c r="AT46" i="23"/>
  <c r="AJ14" i="24"/>
  <c r="AT12" i="23"/>
  <c r="AT49" i="23"/>
  <c r="AJ35" i="22"/>
  <c r="AY34" i="27"/>
  <c r="AJ65" i="22"/>
  <c r="AX94" i="17"/>
  <c r="AY38" i="27"/>
  <c r="AJ91" i="22"/>
  <c r="AT117" i="23"/>
  <c r="AU7" i="9"/>
  <c r="AT97" i="23"/>
  <c r="AJ45" i="22"/>
  <c r="AW38" i="19"/>
  <c r="AW97" i="19"/>
  <c r="AY47" i="27"/>
  <c r="Q7" i="25"/>
  <c r="Z7" i="25"/>
  <c r="AW23" i="19"/>
  <c r="AW87" i="19"/>
  <c r="AI12" i="16"/>
  <c r="AA10" i="17"/>
  <c r="W95" i="29"/>
  <c r="Z95" i="29" s="1"/>
  <c r="V91" i="29"/>
  <c r="Y91" i="29" s="1"/>
  <c r="V99" i="29"/>
  <c r="Y99" i="29" s="1"/>
  <c r="V92" i="29"/>
  <c r="Y92" i="29" s="1"/>
  <c r="W91" i="29"/>
  <c r="Z91" i="29" s="1"/>
  <c r="V95" i="29"/>
  <c r="Y95" i="29" s="1"/>
  <c r="W94" i="29"/>
  <c r="Z94" i="29" s="1"/>
  <c r="W93" i="29"/>
  <c r="Z93" i="29" s="1"/>
  <c r="V94" i="29"/>
  <c r="Y94" i="29" s="1"/>
  <c r="W99" i="29"/>
  <c r="Z99" i="29" s="1"/>
  <c r="V96" i="29"/>
  <c r="Y96" i="29" s="1"/>
  <c r="W96" i="29"/>
  <c r="Z96" i="29" s="1"/>
  <c r="W98" i="29"/>
  <c r="Z98" i="29" s="1"/>
  <c r="V93" i="29"/>
  <c r="Y93" i="29" s="1"/>
  <c r="W92" i="29"/>
  <c r="Z92" i="29" s="1"/>
  <c r="V97" i="29"/>
  <c r="Y97" i="29" s="1"/>
  <c r="V98" i="29"/>
  <c r="Y98" i="29" s="1"/>
  <c r="W97" i="29"/>
  <c r="Z97" i="29" s="1"/>
  <c r="AA23" i="17"/>
  <c r="AX107" i="17"/>
  <c r="AX79" i="17"/>
  <c r="AX72" i="17"/>
  <c r="W13" i="29"/>
  <c r="Z13" i="29" s="1"/>
  <c r="V7" i="29"/>
  <c r="Y7" i="29" s="1"/>
  <c r="W9" i="29"/>
  <c r="Z9" i="29" s="1"/>
  <c r="V14" i="29"/>
  <c r="Y14" i="29" s="1"/>
  <c r="W12" i="29"/>
  <c r="Z12" i="29" s="1"/>
  <c r="V12" i="29"/>
  <c r="Y12" i="29" s="1"/>
  <c r="W14" i="29"/>
  <c r="Z14" i="29" s="1"/>
  <c r="V8" i="29"/>
  <c r="Y8" i="29" s="1"/>
  <c r="V11" i="29"/>
  <c r="Y11" i="29" s="1"/>
  <c r="V9" i="29"/>
  <c r="Y9" i="29" s="1"/>
  <c r="W11" i="29"/>
  <c r="Z11" i="29" s="1"/>
  <c r="W7" i="29"/>
  <c r="Z7" i="29" s="1"/>
  <c r="W15" i="29"/>
  <c r="Z15" i="29" s="1"/>
  <c r="V10" i="29"/>
  <c r="Y10" i="29" s="1"/>
  <c r="V15" i="29"/>
  <c r="Y15" i="29" s="1"/>
  <c r="V13" i="29"/>
  <c r="Y13" i="29" s="1"/>
  <c r="W8" i="29"/>
  <c r="Z8" i="29" s="1"/>
  <c r="W10" i="29"/>
  <c r="Z10" i="29" s="1"/>
  <c r="AJ70" i="22"/>
  <c r="BH59" i="46"/>
  <c r="BH27" i="46"/>
  <c r="AT95" i="13"/>
  <c r="AJ98" i="22"/>
  <c r="AY14" i="27"/>
  <c r="BH86" i="46"/>
  <c r="AX93" i="17"/>
  <c r="AT99" i="13"/>
  <c r="AB63" i="29"/>
  <c r="AE63" i="29" s="1"/>
  <c r="AB61" i="29"/>
  <c r="AE61" i="29" s="1"/>
  <c r="AB55" i="29"/>
  <c r="AE55" i="29" s="1"/>
  <c r="AC58" i="29"/>
  <c r="AF58" i="29" s="1"/>
  <c r="AC62" i="29"/>
  <c r="AF62" i="29" s="1"/>
  <c r="AB60" i="29"/>
  <c r="AE60" i="29" s="1"/>
  <c r="AC59" i="29"/>
  <c r="AF59" i="29" s="1"/>
  <c r="AC63" i="29"/>
  <c r="AF63" i="29" s="1"/>
  <c r="AC57" i="29"/>
  <c r="AF57" i="29" s="1"/>
  <c r="AB59" i="29"/>
  <c r="AE59" i="29" s="1"/>
  <c r="AB58" i="29"/>
  <c r="AE58" i="29" s="1"/>
  <c r="AC55" i="29"/>
  <c r="AF55" i="29" s="1"/>
  <c r="AB57" i="29"/>
  <c r="AE57" i="29" s="1"/>
  <c r="AB62" i="29"/>
  <c r="AE62" i="29" s="1"/>
  <c r="AC61" i="29"/>
  <c r="AF61" i="29" s="1"/>
  <c r="AB56" i="29"/>
  <c r="AE56" i="29" s="1"/>
  <c r="AC60" i="29"/>
  <c r="AF60" i="29" s="1"/>
  <c r="AC56" i="29"/>
  <c r="AF56" i="29" s="1"/>
  <c r="AY27" i="27"/>
  <c r="AW14" i="19"/>
  <c r="AY9" i="27"/>
  <c r="AW51" i="19"/>
  <c r="AT34" i="23"/>
  <c r="AT73" i="13"/>
  <c r="AX64" i="17"/>
  <c r="AT120" i="23"/>
  <c r="AA12" i="17"/>
  <c r="AT91" i="13"/>
  <c r="AS7" i="38"/>
  <c r="AT60" i="23"/>
  <c r="AU5" i="9"/>
  <c r="AW32" i="19"/>
  <c r="BA28" i="18"/>
  <c r="AV29" i="12"/>
  <c r="AX132" i="17"/>
  <c r="AQ52" i="10"/>
  <c r="AJ61" i="22"/>
  <c r="AY19" i="27"/>
  <c r="BM23" i="45"/>
  <c r="AY87" i="27"/>
  <c r="AT88" i="23"/>
  <c r="AT131" i="23"/>
  <c r="AT18" i="23"/>
  <c r="AX43" i="17"/>
  <c r="AX39" i="17"/>
  <c r="AW10" i="19"/>
  <c r="AA9" i="17"/>
  <c r="BA43" i="18"/>
  <c r="AV15" i="12"/>
  <c r="BA13" i="18"/>
  <c r="AT122" i="23"/>
  <c r="AJ41" i="22"/>
  <c r="AJ46" i="22"/>
  <c r="AT33" i="13"/>
  <c r="AT72" i="13"/>
  <c r="AY26" i="28"/>
  <c r="BH85" i="46"/>
  <c r="AW83" i="19"/>
  <c r="BH56" i="46"/>
  <c r="BA27" i="18"/>
  <c r="AS22" i="38"/>
  <c r="AI9" i="16"/>
  <c r="AT24" i="23"/>
  <c r="AJ39" i="22"/>
  <c r="AJ94" i="22"/>
  <c r="AT89" i="23"/>
  <c r="AJ9" i="22"/>
  <c r="AT82" i="13"/>
  <c r="AY77" i="27"/>
  <c r="AW98" i="19"/>
  <c r="AY81" i="27"/>
  <c r="AQ34" i="10"/>
  <c r="AT57" i="13"/>
  <c r="AJ101" i="22"/>
  <c r="AC22" i="29"/>
  <c r="AF22" i="29" s="1"/>
  <c r="AC27" i="29"/>
  <c r="AF27" i="29" s="1"/>
  <c r="AC21" i="29"/>
  <c r="AF21" i="29" s="1"/>
  <c r="AB19" i="29"/>
  <c r="AE19" i="29" s="1"/>
  <c r="AB20" i="29"/>
  <c r="AE20" i="29" s="1"/>
  <c r="AC20" i="29"/>
  <c r="AF20" i="29" s="1"/>
  <c r="AC26" i="29"/>
  <c r="AF26" i="29" s="1"/>
  <c r="AB23" i="29"/>
  <c r="AE23" i="29" s="1"/>
  <c r="AC19" i="29"/>
  <c r="AF19" i="29" s="1"/>
  <c r="AC25" i="29"/>
  <c r="AF25" i="29" s="1"/>
  <c r="AB24" i="29"/>
  <c r="AE24" i="29" s="1"/>
  <c r="AC23" i="29"/>
  <c r="AF23" i="29" s="1"/>
  <c r="AB22" i="29"/>
  <c r="AE22" i="29" s="1"/>
  <c r="AB25" i="29"/>
  <c r="AE25" i="29" s="1"/>
  <c r="AB21" i="29"/>
  <c r="AE21" i="29" s="1"/>
  <c r="AB26" i="29"/>
  <c r="AE26" i="29" s="1"/>
  <c r="AC24" i="29"/>
  <c r="AF24" i="29" s="1"/>
  <c r="AB27" i="29"/>
  <c r="AE27" i="29" s="1"/>
  <c r="AT65" i="23"/>
  <c r="AV24" i="12"/>
  <c r="AY119" i="27"/>
  <c r="BH75" i="46"/>
  <c r="AX75" i="17"/>
  <c r="AJ26" i="22"/>
  <c r="AT45" i="13"/>
  <c r="AI18" i="16"/>
  <c r="AY79" i="27"/>
  <c r="AY60" i="27"/>
  <c r="AT13" i="13"/>
  <c r="AT107" i="23"/>
  <c r="AJ33" i="24"/>
  <c r="AJ8" i="22"/>
  <c r="AV21" i="12"/>
  <c r="AS34" i="38"/>
  <c r="AA22" i="17"/>
  <c r="AJ22" i="22"/>
  <c r="AV8" i="12"/>
  <c r="BA17" i="18"/>
  <c r="AX118" i="17"/>
  <c r="AJ40" i="24"/>
  <c r="AQ58" i="10"/>
  <c r="AY68" i="27"/>
  <c r="AW93" i="19"/>
  <c r="AJ22" i="24"/>
  <c r="AY54" i="28"/>
  <c r="BA12" i="18"/>
  <c r="AT26" i="13"/>
  <c r="AT93" i="23"/>
  <c r="AT26" i="23"/>
  <c r="AX41" i="17"/>
  <c r="AY7" i="27"/>
  <c r="BH25" i="46"/>
  <c r="AJ129" i="22"/>
  <c r="AQ45" i="10"/>
  <c r="AJ27" i="22"/>
  <c r="AX116" i="17"/>
  <c r="BM38" i="45"/>
  <c r="AT75" i="23"/>
  <c r="AJ133" i="22"/>
  <c r="AY124" i="27"/>
  <c r="AW99" i="19"/>
  <c r="AT91" i="23"/>
  <c r="AQ21" i="10"/>
  <c r="AJ123" i="22"/>
  <c r="BM8" i="45"/>
  <c r="AW75" i="19"/>
  <c r="AX115" i="17"/>
  <c r="AT55" i="13"/>
  <c r="AT132" i="23"/>
  <c r="AW61" i="19"/>
  <c r="AT98" i="23"/>
  <c r="AS20" i="38"/>
  <c r="AQ46" i="10"/>
  <c r="AJ63" i="22"/>
  <c r="AY27" i="28"/>
  <c r="BH9" i="46"/>
  <c r="AY66" i="27"/>
  <c r="AJ53" i="22"/>
  <c r="BH50" i="46"/>
  <c r="AJ49" i="22"/>
  <c r="AT14" i="23"/>
  <c r="Z27" i="25"/>
  <c r="Q27" i="25"/>
  <c r="AW71" i="19"/>
  <c r="AW27" i="19"/>
  <c r="AX71" i="17"/>
  <c r="BA42" i="18"/>
  <c r="AY10" i="27"/>
  <c r="AY131" i="27"/>
  <c r="AJ131" i="22"/>
  <c r="AY67" i="28"/>
  <c r="AX38" i="17"/>
  <c r="AT119" i="23"/>
  <c r="AT11" i="13"/>
  <c r="AJ40" i="22"/>
  <c r="AT22" i="23"/>
  <c r="BH33" i="46"/>
  <c r="AS8" i="38"/>
  <c r="AY28" i="27"/>
  <c r="AA7" i="17"/>
  <c r="AW58" i="19"/>
  <c r="AY67" i="27"/>
  <c r="AB72" i="29"/>
  <c r="AE72" i="29" s="1"/>
  <c r="AB70" i="29"/>
  <c r="AE70" i="29" s="1"/>
  <c r="AC70" i="29"/>
  <c r="AF70" i="29" s="1"/>
  <c r="AB69" i="29"/>
  <c r="AE69" i="29" s="1"/>
  <c r="AB71" i="29"/>
  <c r="AE71" i="29" s="1"/>
  <c r="AB73" i="29"/>
  <c r="AE73" i="29" s="1"/>
  <c r="AB67" i="29"/>
  <c r="AE67" i="29" s="1"/>
  <c r="AC74" i="29"/>
  <c r="AF74" i="29" s="1"/>
  <c r="AC68" i="29"/>
  <c r="AF68" i="29" s="1"/>
  <c r="AC69" i="29"/>
  <c r="AF69" i="29" s="1"/>
  <c r="AC75" i="29"/>
  <c r="AF75" i="29" s="1"/>
  <c r="AB75" i="29"/>
  <c r="AE75" i="29" s="1"/>
  <c r="AB74" i="29"/>
  <c r="AE74" i="29" s="1"/>
  <c r="AC72" i="29"/>
  <c r="AF72" i="29" s="1"/>
  <c r="AC67" i="29"/>
  <c r="AF67" i="29" s="1"/>
  <c r="AC73" i="29"/>
  <c r="AF73" i="29" s="1"/>
  <c r="AC71" i="29"/>
  <c r="AF71" i="29" s="1"/>
  <c r="AB68" i="29"/>
  <c r="AE68" i="29" s="1"/>
  <c r="AT34" i="13"/>
  <c r="AJ57" i="24"/>
  <c r="AY51" i="27"/>
  <c r="AX54" i="17"/>
  <c r="AJ77" i="22"/>
  <c r="AY91" i="27"/>
  <c r="AT24" i="13"/>
  <c r="AX98" i="17"/>
  <c r="AJ51" i="22"/>
  <c r="AY28" i="28"/>
  <c r="AT103" i="23"/>
  <c r="BH83" i="46"/>
  <c r="AT8" i="13"/>
  <c r="AT74" i="13"/>
  <c r="AT81" i="23"/>
  <c r="AX102" i="17"/>
  <c r="AT39" i="13"/>
  <c r="AW33" i="19"/>
  <c r="AT94" i="13"/>
  <c r="AT44" i="13"/>
  <c r="AX69" i="17"/>
  <c r="AS21" i="38"/>
  <c r="AT23" i="13"/>
  <c r="AJ20" i="22"/>
  <c r="AX121" i="17"/>
  <c r="AT42" i="23"/>
  <c r="AW63" i="19"/>
  <c r="AQ39" i="10"/>
  <c r="AX66" i="17"/>
  <c r="AW94" i="19"/>
  <c r="AX60" i="17"/>
  <c r="AY127" i="27"/>
  <c r="AJ32" i="24"/>
  <c r="AX91" i="17"/>
  <c r="AW95" i="19"/>
  <c r="AY115" i="27"/>
  <c r="AT77" i="23"/>
  <c r="AQ7" i="10"/>
  <c r="BH44" i="46"/>
  <c r="BH69" i="46"/>
  <c r="AT47" i="13"/>
  <c r="AY80" i="27"/>
  <c r="AT133" i="23"/>
  <c r="AW84" i="19"/>
  <c r="AT67" i="23"/>
  <c r="AY12" i="27"/>
  <c r="AC81" i="29"/>
  <c r="AF81" i="29" s="1"/>
  <c r="AB85" i="29"/>
  <c r="AE85" i="29" s="1"/>
  <c r="AB84" i="29"/>
  <c r="AE84" i="29" s="1"/>
  <c r="AB86" i="29"/>
  <c r="AE86" i="29" s="1"/>
  <c r="AB81" i="29"/>
  <c r="AE81" i="29" s="1"/>
  <c r="AC82" i="29"/>
  <c r="AF82" i="29" s="1"/>
  <c r="AB82" i="29"/>
  <c r="AE82" i="29" s="1"/>
  <c r="AC80" i="29"/>
  <c r="AF80" i="29" s="1"/>
  <c r="AC86" i="29"/>
  <c r="AF86" i="29" s="1"/>
  <c r="AC79" i="29"/>
  <c r="AF79" i="29" s="1"/>
  <c r="AB80" i="29"/>
  <c r="AE80" i="29" s="1"/>
  <c r="AC87" i="29"/>
  <c r="AF87" i="29" s="1"/>
  <c r="AB87" i="29"/>
  <c r="AE87" i="29" s="1"/>
  <c r="AC84" i="29"/>
  <c r="AF84" i="29" s="1"/>
  <c r="AC83" i="29"/>
  <c r="AF83" i="29" s="1"/>
  <c r="AB83" i="29"/>
  <c r="AE83" i="29" s="1"/>
  <c r="AC85" i="29"/>
  <c r="AF85" i="29" s="1"/>
  <c r="AB79" i="29"/>
  <c r="AE79" i="29" s="1"/>
  <c r="AW20" i="19"/>
  <c r="AY7" i="28"/>
  <c r="AY41" i="27"/>
  <c r="AY22" i="28"/>
  <c r="AX105" i="17"/>
  <c r="AJ127" i="22"/>
  <c r="AJ102" i="22"/>
  <c r="AT45" i="23"/>
  <c r="AX129" i="17"/>
  <c r="AT95" i="23"/>
  <c r="AT73" i="23"/>
  <c r="AJ34" i="24"/>
  <c r="AT64" i="23"/>
  <c r="Q22" i="25"/>
  <c r="Z22" i="25"/>
  <c r="AX103" i="17"/>
  <c r="AY117" i="27"/>
  <c r="AT62" i="13"/>
  <c r="AX133" i="17"/>
  <c r="AJ113" i="22"/>
  <c r="AJ58" i="24"/>
  <c r="AT85" i="13"/>
  <c r="AT105" i="23"/>
  <c r="AJ14" i="22"/>
  <c r="AY105" i="27"/>
  <c r="AT9" i="13"/>
  <c r="AY36" i="27"/>
  <c r="AW67" i="19"/>
  <c r="AJ124" i="22"/>
  <c r="AT58" i="13"/>
  <c r="BH11" i="46"/>
  <c r="W38" i="29"/>
  <c r="Z38" i="29" s="1"/>
  <c r="V35" i="29"/>
  <c r="Y35" i="29" s="1"/>
  <c r="W35" i="29"/>
  <c r="Z35" i="29" s="1"/>
  <c r="W33" i="29"/>
  <c r="Z33" i="29" s="1"/>
  <c r="V33" i="29"/>
  <c r="Y33" i="29" s="1"/>
  <c r="W37" i="29"/>
  <c r="Z37" i="29" s="1"/>
  <c r="V39" i="29"/>
  <c r="Y39" i="29" s="1"/>
  <c r="W32" i="29"/>
  <c r="Z32" i="29" s="1"/>
  <c r="W31" i="29"/>
  <c r="Z31" i="29" s="1"/>
  <c r="V32" i="29"/>
  <c r="Y32" i="29" s="1"/>
  <c r="W36" i="29"/>
  <c r="Z36" i="29" s="1"/>
  <c r="W39" i="29"/>
  <c r="Z39" i="29" s="1"/>
  <c r="V31" i="29"/>
  <c r="Y31" i="29" s="1"/>
  <c r="V36" i="29"/>
  <c r="Y36" i="29" s="1"/>
  <c r="V34" i="29"/>
  <c r="Y34" i="29" s="1"/>
  <c r="V38" i="29"/>
  <c r="Y38" i="29" s="1"/>
  <c r="W34" i="29"/>
  <c r="Z34" i="29" s="1"/>
  <c r="V37" i="29"/>
  <c r="Y37" i="29" s="1"/>
  <c r="BH43" i="46"/>
  <c r="BH21" i="46"/>
  <c r="AX73" i="17"/>
  <c r="AX131" i="17"/>
  <c r="AQ33" i="10"/>
  <c r="AV7" i="12"/>
  <c r="AT37" i="13"/>
  <c r="AY113" i="27"/>
  <c r="BH73" i="46"/>
  <c r="AV22" i="12"/>
  <c r="AJ24" i="22"/>
  <c r="AJ115" i="22"/>
  <c r="AT123" i="23"/>
  <c r="AJ90" i="22"/>
  <c r="AJ119" i="22"/>
  <c r="AJ52" i="24"/>
  <c r="AT28" i="23"/>
  <c r="BH39" i="46"/>
  <c r="BM22" i="45"/>
  <c r="AJ75" i="22"/>
  <c r="AW45" i="19"/>
  <c r="AW56" i="19"/>
  <c r="W44" i="29"/>
  <c r="Z44" i="29" s="1"/>
  <c r="W47" i="29"/>
  <c r="Z47" i="29" s="1"/>
  <c r="W45" i="29"/>
  <c r="Z45" i="29" s="1"/>
  <c r="V47" i="29"/>
  <c r="Y47" i="29" s="1"/>
  <c r="V49" i="29"/>
  <c r="Y49" i="29" s="1"/>
  <c r="W50" i="29"/>
  <c r="Z50" i="29" s="1"/>
  <c r="V45" i="29"/>
  <c r="Y45" i="29" s="1"/>
  <c r="W43" i="29"/>
  <c r="Z43" i="29" s="1"/>
  <c r="V46" i="29"/>
  <c r="Y46" i="29" s="1"/>
  <c r="V43" i="29"/>
  <c r="Y43" i="29" s="1"/>
  <c r="V50" i="29"/>
  <c r="Y50" i="29" s="1"/>
  <c r="V48" i="29"/>
  <c r="Y48" i="29" s="1"/>
  <c r="V51" i="29"/>
  <c r="Y51" i="29" s="1"/>
  <c r="W49" i="29"/>
  <c r="Z49" i="29" s="1"/>
  <c r="W51" i="29"/>
  <c r="Z51" i="29" s="1"/>
  <c r="W46" i="29"/>
  <c r="Z46" i="29" s="1"/>
  <c r="W48" i="29"/>
  <c r="Z48" i="29" s="1"/>
  <c r="V44" i="29"/>
  <c r="Y44" i="29" s="1"/>
  <c r="AT114" i="23"/>
  <c r="AT13" i="23"/>
  <c r="AQ40" i="10"/>
  <c r="BH51" i="46"/>
  <c r="AY16" i="27"/>
  <c r="AJ38" i="24"/>
  <c r="AT68" i="13"/>
  <c r="AT70" i="23"/>
  <c r="AT112" i="23"/>
  <c r="AT12" i="13"/>
  <c r="BH45" i="46"/>
  <c r="AX97" i="17"/>
  <c r="AI5" i="16"/>
  <c r="AY94" i="27"/>
  <c r="AT36" i="13"/>
  <c r="AT31" i="13"/>
  <c r="AY47" i="28"/>
  <c r="BH13" i="46"/>
  <c r="BA32" i="18"/>
  <c r="AT87" i="13"/>
  <c r="BH67" i="46"/>
  <c r="AT71" i="13"/>
  <c r="AQ14" i="10"/>
  <c r="BH14" i="46"/>
  <c r="AT93" i="13"/>
  <c r="BM37" i="45"/>
  <c r="BA18" i="18"/>
  <c r="Q17" i="25"/>
  <c r="Z17" i="25"/>
  <c r="AT102" i="23"/>
  <c r="AX80" i="17"/>
  <c r="AT20" i="23"/>
  <c r="AT40" i="23"/>
  <c r="AJ116" i="22"/>
  <c r="AT19" i="23"/>
  <c r="AX86" i="17"/>
  <c r="AJ118" i="22"/>
  <c r="BH72" i="46"/>
  <c r="AT14" i="13"/>
  <c r="BH62" i="46"/>
  <c r="AX40" i="17"/>
  <c r="AT94" i="23"/>
  <c r="BH80" i="46"/>
  <c r="AJ47" i="22"/>
  <c r="AY112" i="27"/>
  <c r="AU8" i="9"/>
  <c r="AY23" i="27"/>
  <c r="AA13" i="17"/>
  <c r="AJ97" i="22"/>
  <c r="Q12" i="25"/>
  <c r="Z12" i="25"/>
  <c r="BM27" i="45"/>
  <c r="AY95" i="27"/>
  <c r="AJ37" i="22"/>
  <c r="AY123" i="27"/>
  <c r="BA38" i="18"/>
  <c r="AT63" i="23"/>
  <c r="AT15" i="23"/>
  <c r="AW19" i="19"/>
  <c r="AT37" i="23"/>
  <c r="AJ17" i="22"/>
  <c r="AC34" i="29"/>
  <c r="AF34" i="29" s="1"/>
  <c r="AC35" i="29"/>
  <c r="AF35" i="29" s="1"/>
  <c r="AB38" i="29"/>
  <c r="AE38" i="29" s="1"/>
  <c r="AB37" i="29"/>
  <c r="AE37" i="29" s="1"/>
  <c r="AB33" i="29"/>
  <c r="AE33" i="29" s="1"/>
  <c r="AC32" i="29"/>
  <c r="AF32" i="29" s="1"/>
  <c r="AB35" i="29"/>
  <c r="AE35" i="29" s="1"/>
  <c r="AC37" i="29"/>
  <c r="AF37" i="29" s="1"/>
  <c r="AB31" i="29"/>
  <c r="AE31" i="29" s="1"/>
  <c r="AB39" i="29"/>
  <c r="AE39" i="29" s="1"/>
  <c r="AB36" i="29"/>
  <c r="AE36" i="29" s="1"/>
  <c r="AC36" i="29"/>
  <c r="AF36" i="29" s="1"/>
  <c r="AC33" i="29"/>
  <c r="AF33" i="29" s="1"/>
  <c r="AC38" i="29"/>
  <c r="AF38" i="29" s="1"/>
  <c r="AC31" i="29"/>
  <c r="AF31" i="29" s="1"/>
  <c r="AB34" i="29"/>
  <c r="AE34" i="29" s="1"/>
  <c r="AB32" i="29"/>
  <c r="AE32" i="29" s="1"/>
  <c r="AC39" i="29"/>
  <c r="AF39" i="29" s="1"/>
  <c r="AJ125" i="22"/>
  <c r="AW8" i="19"/>
  <c r="AT96" i="13"/>
  <c r="AY20" i="27"/>
  <c r="AJ73" i="22"/>
  <c r="AY92" i="27"/>
  <c r="AX76" i="17"/>
  <c r="AJ80" i="22"/>
  <c r="AY133" i="27"/>
  <c r="AB47" i="29"/>
  <c r="AE47" i="29" s="1"/>
  <c r="AC51" i="29"/>
  <c r="AF51" i="29" s="1"/>
  <c r="AC45" i="29"/>
  <c r="AF45" i="29" s="1"/>
  <c r="AC43" i="29"/>
  <c r="AF43" i="29" s="1"/>
  <c r="AC44" i="29"/>
  <c r="AF44" i="29" s="1"/>
  <c r="AB48" i="29"/>
  <c r="AE48" i="29" s="1"/>
  <c r="AB51" i="29"/>
  <c r="AE51" i="29" s="1"/>
  <c r="AB49" i="29"/>
  <c r="AE49" i="29" s="1"/>
  <c r="AC50" i="29"/>
  <c r="AF50" i="29" s="1"/>
  <c r="AB44" i="29"/>
  <c r="AE44" i="29" s="1"/>
  <c r="AB43" i="29"/>
  <c r="AE43" i="29" s="1"/>
  <c r="AC48" i="29"/>
  <c r="AF48" i="29" s="1"/>
  <c r="AC49" i="29"/>
  <c r="AF49" i="29" s="1"/>
  <c r="AC46" i="29"/>
  <c r="AF46" i="29" s="1"/>
  <c r="AB50" i="29"/>
  <c r="AE50" i="29" s="1"/>
  <c r="AC47" i="29"/>
  <c r="AF47" i="29" s="1"/>
  <c r="AB45" i="29"/>
  <c r="AE45" i="29" s="1"/>
  <c r="AB46" i="29"/>
  <c r="AE46" i="29" s="1"/>
  <c r="AJ64" i="22"/>
  <c r="AY107" i="27"/>
  <c r="AQ38" i="10"/>
  <c r="AV16" i="12"/>
  <c r="AJ86" i="22"/>
  <c r="AQ32" i="10"/>
  <c r="AW49" i="19"/>
  <c r="AV28" i="12"/>
  <c r="AW12" i="19"/>
  <c r="AJ23" i="22"/>
  <c r="AT27" i="23"/>
  <c r="AW22" i="19"/>
  <c r="AT38" i="13"/>
  <c r="BH20" i="46"/>
  <c r="AJ38" i="22"/>
  <c r="AI11" i="16"/>
  <c r="AT66" i="23"/>
  <c r="AX65" i="17"/>
  <c r="AJ76" i="22"/>
  <c r="AT7" i="23"/>
  <c r="AI17" i="16"/>
  <c r="AI16" i="16"/>
  <c r="AT55" i="23"/>
  <c r="AT101" i="23"/>
  <c r="AY121" i="27"/>
  <c r="AY70" i="27"/>
  <c r="AX113" i="17"/>
  <c r="V24" i="29"/>
  <c r="Y24" i="29" s="1"/>
  <c r="W21" i="29"/>
  <c r="Z21" i="29" s="1"/>
  <c r="W20" i="29"/>
  <c r="Z20" i="29" s="1"/>
  <c r="V27" i="29"/>
  <c r="Y27" i="29" s="1"/>
  <c r="W19" i="29"/>
  <c r="Z19" i="29" s="1"/>
  <c r="W26" i="29"/>
  <c r="Z26" i="29" s="1"/>
  <c r="V19" i="29"/>
  <c r="Y19" i="29" s="1"/>
  <c r="V20" i="29"/>
  <c r="Y20" i="29" s="1"/>
  <c r="W25" i="29"/>
  <c r="Z25" i="29" s="1"/>
  <c r="V23" i="29"/>
  <c r="Y23" i="29" s="1"/>
  <c r="W24" i="29"/>
  <c r="Z24" i="29" s="1"/>
  <c r="V25" i="29"/>
  <c r="Y25" i="29" s="1"/>
  <c r="V21" i="29"/>
  <c r="Y21" i="29" s="1"/>
  <c r="W27" i="29"/>
  <c r="Z27" i="29" s="1"/>
  <c r="V22" i="29"/>
  <c r="Y22" i="29" s="1"/>
  <c r="V26" i="29"/>
  <c r="Y26" i="29" s="1"/>
  <c r="W23" i="29"/>
  <c r="Z23" i="29" s="1"/>
  <c r="W22" i="29"/>
  <c r="Z22" i="29" s="1"/>
  <c r="AY39" i="27"/>
  <c r="AY61" i="27"/>
  <c r="BH99" i="46"/>
  <c r="AJ46" i="24"/>
  <c r="AJ99" i="22"/>
  <c r="AY75" i="27"/>
  <c r="AT113" i="23"/>
  <c r="AX87" i="17"/>
  <c r="AT68" i="23"/>
  <c r="AJ34" i="22"/>
  <c r="AJ16" i="22"/>
  <c r="AY53" i="28"/>
  <c r="AJ15" i="22"/>
  <c r="AY103" i="27"/>
  <c r="BH57" i="46"/>
  <c r="AY53" i="27"/>
  <c r="BH61" i="46"/>
  <c r="AI19" i="16"/>
  <c r="Q8" i="25"/>
  <c r="Z8" i="25"/>
  <c r="AJ44" i="22"/>
  <c r="AJ121" i="22"/>
  <c r="AT98" i="13"/>
  <c r="AY22" i="27"/>
  <c r="AJ103" i="22"/>
  <c r="AS43" i="38"/>
  <c r="AV9" i="12"/>
  <c r="AX42" i="17"/>
  <c r="AY66" i="28"/>
  <c r="AY88" i="27"/>
  <c r="BH58" i="46"/>
  <c r="AA15" i="17"/>
  <c r="AI10" i="16"/>
  <c r="AX92" i="17"/>
  <c r="AT50" i="23"/>
  <c r="AY35" i="27"/>
  <c r="AQ63" i="10"/>
  <c r="AW96" i="19"/>
  <c r="AY96" i="27"/>
  <c r="AJ63" i="24"/>
  <c r="AX120" i="17"/>
  <c r="AY48" i="28"/>
  <c r="AY73" i="27"/>
  <c r="AJ114" i="22"/>
  <c r="AT27" i="13"/>
  <c r="AX123" i="17"/>
  <c r="AY101" i="27"/>
  <c r="AQ57" i="10"/>
  <c r="BH81" i="46"/>
  <c r="AJ122" i="22"/>
  <c r="AJ12" i="22"/>
  <c r="AT53" i="23"/>
  <c r="BM13" i="45"/>
  <c r="AW80" i="19"/>
  <c r="AJ18" i="22"/>
  <c r="AS13" i="38"/>
  <c r="AX119" i="17"/>
  <c r="BH71" i="46"/>
  <c r="AI20" i="16"/>
  <c r="AJ107" i="22"/>
  <c r="AY129" i="27"/>
  <c r="AI14" i="16"/>
  <c r="AJ39" i="24"/>
  <c r="AY59" i="28"/>
  <c r="AX89" i="17"/>
  <c r="AQ50" i="10"/>
  <c r="AW72" i="19"/>
  <c r="AY118" i="27"/>
  <c r="AY64" i="27"/>
  <c r="AT38" i="23"/>
  <c r="AI8" i="16"/>
  <c r="AT127" i="23"/>
  <c r="AY128" i="27"/>
  <c r="AT69" i="13"/>
  <c r="AT96" i="23"/>
  <c r="AT87" i="23"/>
  <c r="AT72" i="23"/>
  <c r="AT86" i="23"/>
  <c r="AT83" i="13"/>
  <c r="AX127" i="17"/>
  <c r="AT54" i="23"/>
  <c r="AW47" i="19"/>
  <c r="AY65" i="28"/>
  <c r="AS10" i="38"/>
  <c r="AS29" i="38"/>
  <c r="AT121" i="23"/>
  <c r="AX101" i="17"/>
  <c r="AS14" i="38"/>
  <c r="AY93" i="27"/>
  <c r="AT81" i="13"/>
  <c r="AT90" i="23"/>
  <c r="AQ28" i="10"/>
  <c r="AV30" i="12"/>
  <c r="AT97" i="13"/>
  <c r="BH96" i="46"/>
  <c r="AY55" i="27"/>
  <c r="AT61" i="13"/>
  <c r="BH91" i="46"/>
  <c r="AY102" i="27"/>
  <c r="AY10" i="28"/>
  <c r="BH46" i="46"/>
  <c r="AY61" i="28"/>
  <c r="AW15" i="19"/>
  <c r="AJ112" i="22"/>
  <c r="AY42" i="27"/>
  <c r="AT25" i="13"/>
  <c r="AC96" i="29"/>
  <c r="AF96" i="29" s="1"/>
  <c r="AB92" i="29"/>
  <c r="AE92" i="29" s="1"/>
  <c r="AB99" i="29"/>
  <c r="AE99" i="29" s="1"/>
  <c r="AB97" i="29"/>
  <c r="AE97" i="29" s="1"/>
  <c r="AB93" i="29"/>
  <c r="AE93" i="29" s="1"/>
  <c r="AC94" i="29"/>
  <c r="AF94" i="29" s="1"/>
  <c r="AC99" i="29"/>
  <c r="AF99" i="29" s="1"/>
  <c r="AC97" i="29"/>
  <c r="AF97" i="29" s="1"/>
  <c r="AC98" i="29"/>
  <c r="AF98" i="29" s="1"/>
  <c r="AB94" i="29"/>
  <c r="AE94" i="29" s="1"/>
  <c r="AC95" i="29"/>
  <c r="AF95" i="29" s="1"/>
  <c r="AB95" i="29"/>
  <c r="AE95" i="29" s="1"/>
  <c r="AC93" i="29"/>
  <c r="AF93" i="29" s="1"/>
  <c r="AC91" i="29"/>
  <c r="AF91" i="29" s="1"/>
  <c r="AC92" i="29"/>
  <c r="AF92" i="29" s="1"/>
  <c r="AB96" i="29"/>
  <c r="AE96" i="29" s="1"/>
  <c r="AB98" i="29"/>
  <c r="AE98" i="29" s="1"/>
  <c r="AB91" i="29"/>
  <c r="AE91" i="29" s="1"/>
  <c r="AI6" i="16"/>
  <c r="AV14" i="12"/>
  <c r="AJ60" i="22"/>
  <c r="AQ10" i="10"/>
  <c r="AT10" i="13"/>
  <c r="AJ54" i="22"/>
  <c r="AX36" i="17"/>
  <c r="AJ36" i="22"/>
  <c r="AW24" i="19"/>
  <c r="AJ13" i="24"/>
  <c r="AW91" i="19"/>
  <c r="AJ105" i="22"/>
  <c r="BH32" i="46"/>
  <c r="AT51" i="13"/>
  <c r="AT49" i="13"/>
  <c r="BH38" i="46"/>
  <c r="AI15" i="16"/>
  <c r="V55" i="29"/>
  <c r="Y55" i="29" s="1"/>
  <c r="V56" i="29"/>
  <c r="Y56" i="29" s="1"/>
  <c r="W57" i="29"/>
  <c r="Z57" i="29" s="1"/>
  <c r="V58" i="29"/>
  <c r="Y58" i="29" s="1"/>
  <c r="V62" i="29"/>
  <c r="Y62" i="29" s="1"/>
  <c r="V61" i="29"/>
  <c r="Y61" i="29" s="1"/>
  <c r="W63" i="29"/>
  <c r="Z63" i="29" s="1"/>
  <c r="W62" i="29"/>
  <c r="Z62" i="29" s="1"/>
  <c r="W59" i="29"/>
  <c r="Z59" i="29" s="1"/>
  <c r="V63" i="29"/>
  <c r="Y63" i="29" s="1"/>
  <c r="W58" i="29"/>
  <c r="Z58" i="29" s="1"/>
  <c r="V59" i="29"/>
  <c r="Y59" i="29" s="1"/>
  <c r="V57" i="29"/>
  <c r="Y57" i="29" s="1"/>
  <c r="W60" i="29"/>
  <c r="Z60" i="29" s="1"/>
  <c r="W61" i="29"/>
  <c r="Z61" i="29" s="1"/>
  <c r="V60" i="29"/>
  <c r="Y60" i="29" s="1"/>
  <c r="W55" i="29"/>
  <c r="Z55" i="29" s="1"/>
  <c r="W56" i="29"/>
  <c r="Z56" i="29" s="1"/>
  <c r="AX122" i="17"/>
  <c r="BH37" i="46"/>
  <c r="AT43" i="23"/>
  <c r="AX46" i="17"/>
  <c r="AX124" i="17"/>
  <c r="AX67" i="17"/>
  <c r="AY41" i="28"/>
  <c r="AT51" i="23"/>
  <c r="AY11" i="27"/>
  <c r="AJ11" i="22"/>
  <c r="AY45" i="27"/>
  <c r="AW81" i="19"/>
  <c r="AY98" i="27"/>
  <c r="AX96" i="17"/>
  <c r="BH94" i="46"/>
  <c r="BH10" i="46"/>
  <c r="AY46" i="28"/>
  <c r="AT76" i="23"/>
  <c r="BH98" i="46"/>
  <c r="AY62" i="27"/>
  <c r="AJ7" i="22"/>
  <c r="AJ26" i="24"/>
  <c r="AV17" i="12"/>
  <c r="AW57" i="19"/>
  <c r="AA17" i="17"/>
  <c r="AY106" i="27"/>
  <c r="AJ87" i="22"/>
  <c r="AY18" i="27"/>
  <c r="AJ68" i="22"/>
  <c r="AZ65" i="28" l="1"/>
  <c r="AT20" i="29"/>
  <c r="AT34" i="38"/>
  <c r="AU7" i="23"/>
  <c r="AT13" i="29"/>
  <c r="AT15" i="29"/>
  <c r="AT62" i="29"/>
  <c r="AT12" i="29"/>
  <c r="AT24" i="29"/>
  <c r="AT8" i="29"/>
  <c r="AZ33" i="28"/>
  <c r="AT25" i="29"/>
  <c r="AX91" i="19"/>
  <c r="AY34" i="17"/>
  <c r="AT63" i="29"/>
  <c r="AT61" i="29"/>
  <c r="AK60" i="22"/>
  <c r="AT21" i="29"/>
  <c r="AU86" i="23"/>
  <c r="AT26" i="29"/>
  <c r="AT27" i="29"/>
  <c r="AT57" i="29"/>
  <c r="AK21" i="24"/>
  <c r="AT58" i="29"/>
  <c r="AT22" i="29"/>
  <c r="AY113" i="17"/>
  <c r="BI91" i="46"/>
  <c r="AK7" i="22"/>
  <c r="AZ46" i="28"/>
  <c r="AK112" i="22"/>
  <c r="AZ59" i="28"/>
  <c r="AZ34" i="27"/>
  <c r="AE8" i="25"/>
  <c r="AT8" i="25"/>
  <c r="AD8" i="25"/>
  <c r="AH8" i="25"/>
  <c r="AT23" i="29"/>
  <c r="AK86" i="22"/>
  <c r="AX19" i="19"/>
  <c r="AZ113" i="27"/>
  <c r="AD12" i="25"/>
  <c r="AH12" i="25"/>
  <c r="AE12" i="25"/>
  <c r="AT12" i="25"/>
  <c r="AT51" i="29"/>
  <c r="AT46" i="29"/>
  <c r="AT49" i="29"/>
  <c r="AT31" i="29"/>
  <c r="AT33" i="29"/>
  <c r="AX67" i="19"/>
  <c r="AB7" i="17"/>
  <c r="AT20" i="38"/>
  <c r="AU55" i="13"/>
  <c r="AK113" i="22"/>
  <c r="AZ60" i="27"/>
  <c r="AU60" i="23"/>
  <c r="AT11" i="29"/>
  <c r="AT96" i="29"/>
  <c r="AT99" i="29"/>
  <c r="W7" i="25"/>
  <c r="AR7" i="25"/>
  <c r="AG7" i="25"/>
  <c r="V7" i="25"/>
  <c r="V38" i="25"/>
  <c r="W38" i="25"/>
  <c r="AG38" i="25"/>
  <c r="AR38" i="25"/>
  <c r="AT71" i="29"/>
  <c r="AT74" i="29"/>
  <c r="AT23" i="25"/>
  <c r="AD23" i="25"/>
  <c r="AE23" i="25"/>
  <c r="AH23" i="25"/>
  <c r="AY112" i="17"/>
  <c r="W33" i="25"/>
  <c r="AR33" i="25"/>
  <c r="AG33" i="25"/>
  <c r="V33" i="25"/>
  <c r="AT85" i="29"/>
  <c r="AT84" i="29"/>
  <c r="AB8" i="17"/>
  <c r="AU79" i="13"/>
  <c r="BN7" i="45"/>
  <c r="E1" i="45" s="1"/>
  <c r="AR20" i="10"/>
  <c r="F1" i="10" s="1"/>
  <c r="BI55" i="46"/>
  <c r="AT28" i="25"/>
  <c r="AD28" i="25"/>
  <c r="AH28" i="25"/>
  <c r="AE28" i="25"/>
  <c r="W32" i="25"/>
  <c r="AR32" i="25"/>
  <c r="V32" i="25"/>
  <c r="AG32" i="25"/>
  <c r="AU19" i="13"/>
  <c r="AT56" i="29"/>
  <c r="AG8" i="25"/>
  <c r="V8" i="25"/>
  <c r="AR8" i="25"/>
  <c r="W8" i="25"/>
  <c r="AK8" i="22"/>
  <c r="V12" i="25"/>
  <c r="W12" i="25"/>
  <c r="AG12" i="25"/>
  <c r="AR12" i="25"/>
  <c r="AT48" i="29"/>
  <c r="AT47" i="29"/>
  <c r="AW7" i="12"/>
  <c r="E1" i="12" s="1"/>
  <c r="AT38" i="29"/>
  <c r="AH22" i="25"/>
  <c r="AT22" i="25"/>
  <c r="AE22" i="25"/>
  <c r="AD22" i="25"/>
  <c r="AY60" i="17"/>
  <c r="AR27" i="25"/>
  <c r="V27" i="25"/>
  <c r="AG27" i="25"/>
  <c r="W27" i="25"/>
  <c r="AZ7" i="27"/>
  <c r="AK34" i="22"/>
  <c r="AT7" i="38"/>
  <c r="AT14" i="29"/>
  <c r="AT93" i="29"/>
  <c r="AT95" i="29"/>
  <c r="AT91" i="29"/>
  <c r="AU87" i="23"/>
  <c r="AK35" i="22"/>
  <c r="AU34" i="23"/>
  <c r="AH37" i="25"/>
  <c r="AE37" i="25"/>
  <c r="AT37" i="25"/>
  <c r="AD37" i="25"/>
  <c r="AZ86" i="27"/>
  <c r="AT68" i="29"/>
  <c r="AT67" i="29"/>
  <c r="AT75" i="29"/>
  <c r="AT70" i="29"/>
  <c r="V23" i="25"/>
  <c r="W23" i="25"/>
  <c r="AR23" i="25"/>
  <c r="AG23" i="25"/>
  <c r="AT33" i="25"/>
  <c r="AE33" i="25"/>
  <c r="AD33" i="25"/>
  <c r="AH33" i="25"/>
  <c r="W18" i="25"/>
  <c r="AG18" i="25"/>
  <c r="AR18" i="25"/>
  <c r="V18" i="25"/>
  <c r="AT80" i="29"/>
  <c r="AT81" i="29"/>
  <c r="AT82" i="29"/>
  <c r="AU7" i="13"/>
  <c r="AG42" i="25"/>
  <c r="W42" i="25"/>
  <c r="AR42" i="25"/>
  <c r="V42" i="25"/>
  <c r="BI19" i="46"/>
  <c r="AZ87" i="27"/>
  <c r="AT32" i="25"/>
  <c r="AE32" i="25"/>
  <c r="AH32" i="25"/>
  <c r="AD32" i="25"/>
  <c r="AT55" i="29"/>
  <c r="AK87" i="22"/>
  <c r="AZ112" i="27"/>
  <c r="AH17" i="25"/>
  <c r="AE17" i="25"/>
  <c r="AT17" i="25"/>
  <c r="AD17" i="25"/>
  <c r="BI67" i="46"/>
  <c r="AJ5" i="16"/>
  <c r="E1" i="16" s="1"/>
  <c r="AU112" i="23"/>
  <c r="AZ8" i="27"/>
  <c r="AT50" i="29"/>
  <c r="AT45" i="29"/>
  <c r="AU113" i="23"/>
  <c r="BI43" i="46"/>
  <c r="AT34" i="29"/>
  <c r="AT39" i="29"/>
  <c r="AG22" i="25"/>
  <c r="V22" i="25"/>
  <c r="W22" i="25"/>
  <c r="AR22" i="25"/>
  <c r="AZ7" i="28"/>
  <c r="AY61" i="17"/>
  <c r="AE27" i="25"/>
  <c r="AD27" i="25"/>
  <c r="AH27" i="25"/>
  <c r="AT27" i="25"/>
  <c r="AZ26" i="28"/>
  <c r="AU91" i="13"/>
  <c r="AT98" i="29"/>
  <c r="AT94" i="29"/>
  <c r="AG37" i="25"/>
  <c r="AR37" i="25"/>
  <c r="W37" i="25"/>
  <c r="V37" i="25"/>
  <c r="BI31" i="46"/>
  <c r="AT72" i="29"/>
  <c r="AT73" i="29"/>
  <c r="AT69" i="29"/>
  <c r="AT43" i="25"/>
  <c r="AD43" i="25"/>
  <c r="AE43" i="25"/>
  <c r="AH43" i="25"/>
  <c r="AZ39" i="28"/>
  <c r="AU35" i="23"/>
  <c r="AX31" i="19"/>
  <c r="AT18" i="25"/>
  <c r="AD18" i="25"/>
  <c r="AE18" i="25"/>
  <c r="AH18" i="25"/>
  <c r="AT87" i="29"/>
  <c r="AT86" i="29"/>
  <c r="AT42" i="25"/>
  <c r="AH42" i="25"/>
  <c r="AD42" i="25"/>
  <c r="AE42" i="25"/>
  <c r="AU61" i="23"/>
  <c r="AK61" i="22"/>
  <c r="BI79" i="46"/>
  <c r="BB7" i="18"/>
  <c r="E1" i="18" s="1"/>
  <c r="AZ61" i="27"/>
  <c r="AU67" i="13"/>
  <c r="AU43" i="13"/>
  <c r="V13" i="25"/>
  <c r="W13" i="25"/>
  <c r="AG13" i="25"/>
  <c r="AR13" i="25"/>
  <c r="AY35" i="17"/>
  <c r="AT60" i="29"/>
  <c r="AT59" i="29"/>
  <c r="AT19" i="29"/>
  <c r="AY86" i="17"/>
  <c r="AG17" i="25"/>
  <c r="V17" i="25"/>
  <c r="W17" i="25"/>
  <c r="AR17" i="25"/>
  <c r="AU31" i="13"/>
  <c r="AY87" i="17"/>
  <c r="AT44" i="29"/>
  <c r="AT43" i="29"/>
  <c r="AT37" i="29"/>
  <c r="AT36" i="29"/>
  <c r="AT32" i="29"/>
  <c r="AT35" i="29"/>
  <c r="C1" i="9"/>
  <c r="AT10" i="29"/>
  <c r="AT9" i="29"/>
  <c r="AT7" i="29"/>
  <c r="AT97" i="29"/>
  <c r="AT92" i="29"/>
  <c r="AT7" i="25"/>
  <c r="AH7" i="25"/>
  <c r="AE7" i="25"/>
  <c r="AD7" i="25"/>
  <c r="AE38" i="25"/>
  <c r="AH38" i="25"/>
  <c r="AT38" i="25"/>
  <c r="AD38" i="25"/>
  <c r="V43" i="25"/>
  <c r="AR43" i="25"/>
  <c r="AG43" i="25"/>
  <c r="W43" i="25"/>
  <c r="AZ20" i="28"/>
  <c r="AK20" i="24"/>
  <c r="F1" i="24" s="1"/>
  <c r="BI7" i="46"/>
  <c r="AT83" i="29"/>
  <c r="AT79" i="29"/>
  <c r="AU8" i="23"/>
  <c r="AT41" i="38"/>
  <c r="AZ35" i="27"/>
  <c r="AX7" i="19"/>
  <c r="W28" i="25"/>
  <c r="AR28" i="25"/>
  <c r="V28" i="25"/>
  <c r="AG28" i="25"/>
  <c r="AX43" i="19"/>
  <c r="AX79" i="19"/>
  <c r="AZ52" i="28"/>
  <c r="AX55" i="19"/>
  <c r="AD13" i="25"/>
  <c r="AT13" i="25"/>
  <c r="AE13" i="25"/>
  <c r="AH13" i="25"/>
  <c r="AT27" i="38"/>
  <c r="E1" i="46" l="1"/>
  <c r="AU19" i="29"/>
  <c r="AV12" i="25"/>
  <c r="AV28" i="25"/>
  <c r="AV37" i="25"/>
  <c r="AV22" i="25"/>
  <c r="F1" i="23"/>
  <c r="AU43" i="29"/>
  <c r="AU79" i="29"/>
  <c r="AU7" i="29"/>
  <c r="E1" i="19"/>
  <c r="AV13" i="25"/>
  <c r="F1" i="28"/>
  <c r="AV8" i="25"/>
  <c r="E1" i="13"/>
  <c r="AU91" i="29"/>
  <c r="F1" i="38"/>
  <c r="AV7" i="25"/>
  <c r="AV43" i="25"/>
  <c r="AV17" i="25"/>
  <c r="AU55" i="29"/>
  <c r="AV42" i="25"/>
  <c r="AV18" i="25"/>
  <c r="AV23" i="25"/>
  <c r="AV33" i="25"/>
  <c r="AU31" i="29"/>
  <c r="F1" i="22"/>
  <c r="AU67" i="29"/>
  <c r="F1" i="27"/>
  <c r="AV27" i="25"/>
  <c r="AV32" i="25"/>
  <c r="AV38" i="25"/>
  <c r="F1" i="17"/>
  <c r="E1" i="29" l="1"/>
  <c r="AW7" i="25"/>
  <c r="E1" i="2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sv2</author>
  </authors>
  <commentList>
    <comment ref="AE108" authorId="0" shapeId="0" xr:uid="{00000000-0006-0000-1400-000001000000}">
      <text>
        <r>
          <rPr>
            <b/>
            <sz val="8"/>
            <color indexed="81"/>
            <rFont val="Tahoma"/>
            <family val="2"/>
          </rPr>
          <t>sv2:</t>
        </r>
        <r>
          <rPr>
            <sz val="8"/>
            <color indexed="81"/>
            <rFont val="Tahoma"/>
            <family val="2"/>
          </rPr>
          <t xml:space="preserve">
To be 1250 as in RG's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sv2</author>
  </authors>
  <commentList>
    <comment ref="AL108" authorId="0" shapeId="0" xr:uid="{00000000-0006-0000-1500-000001000000}">
      <text>
        <r>
          <rPr>
            <b/>
            <sz val="8"/>
            <color indexed="81"/>
            <rFont val="Tahoma"/>
            <family val="2"/>
          </rPr>
          <t>sv2:</t>
        </r>
        <r>
          <rPr>
            <sz val="8"/>
            <color indexed="81"/>
            <rFont val="Tahoma"/>
            <family val="2"/>
          </rPr>
          <t xml:space="preserve">
To be 1250 as in RG's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sv2</author>
  </authors>
  <commentList>
    <comment ref="AO108" authorId="0" shapeId="0" xr:uid="{00000000-0006-0000-1600-000001000000}">
      <text>
        <r>
          <rPr>
            <b/>
            <sz val="8"/>
            <color indexed="81"/>
            <rFont val="Tahoma"/>
            <family val="2"/>
          </rPr>
          <t>sv2:</t>
        </r>
        <r>
          <rPr>
            <sz val="8"/>
            <color indexed="81"/>
            <rFont val="Tahoma"/>
            <family val="2"/>
          </rPr>
          <t xml:space="preserve">
To be 1250 as in RG's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sv2</author>
  </authors>
  <commentList>
    <comment ref="AR108" authorId="0" shapeId="0" xr:uid="{00000000-0006-0000-1A00-000001000000}">
      <text>
        <r>
          <rPr>
            <b/>
            <sz val="8"/>
            <color indexed="81"/>
            <rFont val="Tahoma"/>
            <family val="2"/>
          </rPr>
          <t>sv2:</t>
        </r>
        <r>
          <rPr>
            <sz val="8"/>
            <color indexed="81"/>
            <rFont val="Tahoma"/>
            <family val="2"/>
          </rPr>
          <t xml:space="preserve">
To be 1250 as in RG's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sv2</author>
  </authors>
  <commentList>
    <comment ref="AO55" authorId="0" shapeId="0" xr:uid="{00000000-0006-0000-1D00-000001000000}">
      <text>
        <r>
          <rPr>
            <b/>
            <sz val="8"/>
            <color indexed="81"/>
            <rFont val="Tahoma"/>
            <family val="2"/>
          </rPr>
          <t>sv2:</t>
        </r>
        <r>
          <rPr>
            <sz val="8"/>
            <color indexed="81"/>
            <rFont val="Tahoma"/>
            <family val="2"/>
          </rPr>
          <t xml:space="preserve">
To be 1250 as in RG's</t>
        </r>
      </text>
    </comment>
  </commentList>
</comments>
</file>

<file path=xl/sharedStrings.xml><?xml version="1.0" encoding="utf-8"?>
<sst xmlns="http://schemas.openxmlformats.org/spreadsheetml/2006/main" count="3959" uniqueCount="1164">
  <si>
    <t>impedances</t>
    <phoneticPr fontId="35" type="noConversion"/>
  </si>
  <si>
    <t>HD_Audio</t>
    <phoneticPr fontId="35" type="noConversion"/>
  </si>
  <si>
    <t>Mismatch</t>
    <phoneticPr fontId="45" type="noConversion"/>
  </si>
  <si>
    <t>Chipset Design Guide
Trace Length limit</t>
    <phoneticPr fontId="35" type="noConversion"/>
  </si>
  <si>
    <t>Mismatch limit</t>
    <phoneticPr fontId="45" type="noConversion"/>
  </si>
  <si>
    <t>PEG_TX5</t>
    <phoneticPr fontId="45" type="noConversion"/>
  </si>
  <si>
    <t>PEG_TX#5</t>
    <phoneticPr fontId="45" type="noConversion"/>
  </si>
  <si>
    <t>PEG_TX6</t>
    <phoneticPr fontId="45" type="noConversion"/>
  </si>
  <si>
    <t>PEG_TX#6</t>
    <phoneticPr fontId="45" type="noConversion"/>
  </si>
  <si>
    <t>PEG_TX7</t>
    <phoneticPr fontId="45" type="noConversion"/>
  </si>
  <si>
    <t>PEG_TX#7</t>
    <phoneticPr fontId="45" type="noConversion"/>
  </si>
  <si>
    <t>PEG_TX8</t>
    <phoneticPr fontId="45" type="noConversion"/>
  </si>
  <si>
    <t>PEG_TX#8</t>
    <phoneticPr fontId="45" type="noConversion"/>
  </si>
  <si>
    <t>PEG_TX9</t>
    <phoneticPr fontId="45" type="noConversion"/>
  </si>
  <si>
    <t>PEG_TX#9</t>
    <phoneticPr fontId="45" type="noConversion"/>
  </si>
  <si>
    <t>PEG_TX10</t>
    <phoneticPr fontId="45" type="noConversion"/>
  </si>
  <si>
    <t>PEG_TX#10</t>
    <phoneticPr fontId="45" type="noConversion"/>
  </si>
  <si>
    <t>PEG_TX11</t>
    <phoneticPr fontId="45" type="noConversion"/>
  </si>
  <si>
    <t>PEG_TX#11</t>
    <phoneticPr fontId="45" type="noConversion"/>
  </si>
  <si>
    <t>PEG_TX#12</t>
    <phoneticPr fontId="45" type="noConversion"/>
  </si>
  <si>
    <t>PEG_TX13</t>
    <phoneticPr fontId="45" type="noConversion"/>
  </si>
  <si>
    <t>PEG_TX#13</t>
    <phoneticPr fontId="45" type="noConversion"/>
  </si>
  <si>
    <t>PEG_TX14</t>
    <phoneticPr fontId="45" type="noConversion"/>
  </si>
  <si>
    <t>PEG_TX#14</t>
    <phoneticPr fontId="45" type="noConversion"/>
  </si>
  <si>
    <t>PEG_TX15</t>
    <phoneticPr fontId="45" type="noConversion"/>
  </si>
  <si>
    <t>PEG_TX#15</t>
    <phoneticPr fontId="45" type="noConversion"/>
  </si>
  <si>
    <t>I/O Interfaces</t>
  </si>
  <si>
    <t>DDI1_PAIR5-</t>
    <phoneticPr fontId="45" type="noConversion"/>
  </si>
  <si>
    <t>DDI1_PAIR5+</t>
    <phoneticPr fontId="45" type="noConversion"/>
  </si>
  <si>
    <t>DDI1_PAIR6-</t>
    <phoneticPr fontId="45" type="noConversion"/>
  </si>
  <si>
    <t>DDI1_PAIR6+</t>
    <phoneticPr fontId="45" type="noConversion"/>
  </si>
  <si>
    <t>DDI1_PAIR4-</t>
    <phoneticPr fontId="45" type="noConversion"/>
  </si>
  <si>
    <t>DDI1_PAIR4+</t>
    <phoneticPr fontId="45" type="noConversion"/>
  </si>
  <si>
    <t>DDI3_PAIR0-</t>
    <phoneticPr fontId="45" type="noConversion"/>
  </si>
  <si>
    <t>DDI3_PAIR0+</t>
    <phoneticPr fontId="45" type="noConversion"/>
  </si>
  <si>
    <t>DDI3_PAIR1-</t>
    <phoneticPr fontId="45" type="noConversion"/>
  </si>
  <si>
    <t>DDI3_PAIR1+</t>
    <phoneticPr fontId="45" type="noConversion"/>
  </si>
  <si>
    <t>DDI3_PAIR2-</t>
    <phoneticPr fontId="45" type="noConversion"/>
  </si>
  <si>
    <t>DDI3_PAIR2+</t>
    <phoneticPr fontId="45" type="noConversion"/>
  </si>
  <si>
    <t>DDI3_PAIR3-</t>
    <phoneticPr fontId="45" type="noConversion"/>
  </si>
  <si>
    <t>DDI3_PAIR3+</t>
    <phoneticPr fontId="45" type="noConversion"/>
  </si>
  <si>
    <t>DDI3_CLK/AUXP</t>
    <phoneticPr fontId="45" type="noConversion"/>
  </si>
  <si>
    <t>DDI3_DATA/AUXN</t>
    <phoneticPr fontId="45" type="noConversion"/>
  </si>
  <si>
    <t>VGA_RED</t>
    <phoneticPr fontId="45" type="noConversion"/>
  </si>
  <si>
    <t>VGA_GREEN</t>
    <phoneticPr fontId="45" type="noConversion"/>
  </si>
  <si>
    <t>VGA_BLUE</t>
    <phoneticPr fontId="45" type="noConversion"/>
  </si>
  <si>
    <t>VGA_HSYNC</t>
    <phoneticPr fontId="45" type="noConversion"/>
  </si>
  <si>
    <t>VGA_VSYNC</t>
    <phoneticPr fontId="45" type="noConversion"/>
  </si>
  <si>
    <t>VGA_I2C_DATA</t>
    <phoneticPr fontId="45" type="noConversion"/>
  </si>
  <si>
    <t>VGA_I2C_CLK</t>
    <phoneticPr fontId="45" type="noConversion"/>
  </si>
  <si>
    <t>USB 2.0</t>
    <phoneticPr fontId="35" type="noConversion"/>
  </si>
  <si>
    <t>Total is +/-250mil</t>
    <phoneticPr fontId="45" type="noConversion"/>
  </si>
  <si>
    <t>HD-Audio Design Guidelines</t>
    <phoneticPr fontId="35" type="noConversion"/>
  </si>
  <si>
    <t>USB Design Guidelines</t>
    <phoneticPr fontId="35" type="noConversion"/>
  </si>
  <si>
    <t>LAN Design Guidelines</t>
    <phoneticPr fontId="35" type="noConversion"/>
  </si>
  <si>
    <t>SMB Design Guidelines</t>
    <phoneticPr fontId="35" type="noConversion"/>
  </si>
  <si>
    <t>Target</t>
    <phoneticPr fontId="35" type="noConversion"/>
  </si>
  <si>
    <t>Intel Confidential</t>
  </si>
  <si>
    <t>Units</t>
  </si>
  <si>
    <t>Min</t>
  </si>
  <si>
    <t>Max</t>
  </si>
  <si>
    <t>DDR2 Clock Status:</t>
  </si>
  <si>
    <t>Alviso
Ball</t>
  </si>
  <si>
    <t>SCK3</t>
  </si>
  <si>
    <t>SCK#3</t>
  </si>
  <si>
    <t>AF6</t>
  </si>
  <si>
    <t>X0</t>
  </si>
  <si>
    <t>X1</t>
  </si>
  <si>
    <t>DDR2 Control Status:</t>
  </si>
  <si>
    <t xml:space="preserve"> </t>
  </si>
  <si>
    <t>Package Length</t>
  </si>
  <si>
    <t>Miss-match from average target length</t>
  </si>
  <si>
    <t>CK[2:0]/CK#[2:0]</t>
  </si>
  <si>
    <t>SM_CKE0</t>
  </si>
  <si>
    <t>SM_CKE1</t>
  </si>
  <si>
    <t>SM_CS0#</t>
  </si>
  <si>
    <t>SM_CS1#</t>
  </si>
  <si>
    <t>SM_ODT0</t>
  </si>
  <si>
    <t>SM_ODT1</t>
  </si>
  <si>
    <t>Alviso Signal</t>
  </si>
  <si>
    <t>SM_CKE2</t>
  </si>
  <si>
    <t>AH21</t>
  </si>
  <si>
    <t>SM_CKE3</t>
  </si>
  <si>
    <t>SM_CS2#</t>
  </si>
  <si>
    <t>SM_CS3#</t>
  </si>
  <si>
    <t>SM_ODT2</t>
  </si>
  <si>
    <t>SM_ODT3</t>
  </si>
  <si>
    <t>SA_MA1</t>
  </si>
  <si>
    <t>SA_MA2</t>
  </si>
  <si>
    <t>SA_MA3</t>
  </si>
  <si>
    <t>SA_MA4</t>
  </si>
  <si>
    <t>SA_MA5</t>
  </si>
  <si>
    <t>SA_MA6</t>
  </si>
  <si>
    <t>AL19</t>
  </si>
  <si>
    <t>SA_MA7</t>
  </si>
  <si>
    <t>SA_MA8</t>
  </si>
  <si>
    <t>SA_MA9</t>
  </si>
  <si>
    <t>AL20</t>
  </si>
  <si>
    <t>SA_MA10</t>
  </si>
  <si>
    <t>SA_MA11</t>
  </si>
  <si>
    <t>SA_MA12</t>
  </si>
  <si>
    <t>SA_MA13</t>
  </si>
  <si>
    <t>SA_BS0</t>
  </si>
  <si>
    <t>SA_BS1</t>
  </si>
  <si>
    <t>SA_BS2</t>
  </si>
  <si>
    <t>AL21</t>
  </si>
  <si>
    <t>SA_RAS#</t>
  </si>
  <si>
    <t>SA_CAS#</t>
  </si>
  <si>
    <t>SA_WE#</t>
  </si>
  <si>
    <t>SB_MA0</t>
  </si>
  <si>
    <t>SB_MA1</t>
  </si>
  <si>
    <t>SB_MA2</t>
  </si>
  <si>
    <t>SB_MA3</t>
  </si>
  <si>
    <t>SB_MA4</t>
  </si>
  <si>
    <t>SB_MA5</t>
  </si>
  <si>
    <t>AJ19</t>
  </si>
  <si>
    <t>SB_MA6</t>
  </si>
  <si>
    <t>SB_MA7</t>
  </si>
  <si>
    <t>SB_MA8</t>
  </si>
  <si>
    <t>AJ20</t>
  </si>
  <si>
    <t>SB_MA9</t>
  </si>
  <si>
    <t>AH20</t>
  </si>
  <si>
    <t>SB_MA10</t>
  </si>
  <si>
    <t>SB_MA11</t>
  </si>
  <si>
    <t>SB_MA12</t>
  </si>
  <si>
    <t>AG20</t>
  </si>
  <si>
    <t>SB_MA13</t>
  </si>
  <si>
    <t>AG15</t>
  </si>
  <si>
    <t>SB_BS0</t>
  </si>
  <si>
    <t>AJ15</t>
  </si>
  <si>
    <t>SB_BS1</t>
  </si>
  <si>
    <t>SB_BS2</t>
  </si>
  <si>
    <t>SB_RAS#</t>
  </si>
  <si>
    <t>AK14</t>
  </si>
  <si>
    <t>SB_CAS#</t>
  </si>
  <si>
    <t>AH14</t>
  </si>
  <si>
    <t>SB_WE#</t>
  </si>
  <si>
    <t>DDR2 Strobe Status:</t>
  </si>
  <si>
    <t>SA_DQS0</t>
  </si>
  <si>
    <t>SA_DQS0#</t>
  </si>
  <si>
    <t>SA_DQS1</t>
  </si>
  <si>
    <t>SA_DQS1#</t>
  </si>
  <si>
    <t>SA_DQS2</t>
  </si>
  <si>
    <t>SA_DQS2#</t>
  </si>
  <si>
    <t>SA_DQS3</t>
  </si>
  <si>
    <t>SA_DQS3#</t>
  </si>
  <si>
    <t>SA_DQS4</t>
  </si>
  <si>
    <t>SA_DQS4#</t>
  </si>
  <si>
    <t>SA_DQS5</t>
  </si>
  <si>
    <t>SA_DQS5#</t>
  </si>
  <si>
    <t>SA_DQS6</t>
  </si>
  <si>
    <t>SA_DQS6#</t>
  </si>
  <si>
    <t>AH1</t>
  </si>
  <si>
    <t>SA_DQS7</t>
  </si>
  <si>
    <t>SA_DQS7#</t>
  </si>
  <si>
    <t>`</t>
  </si>
  <si>
    <t>DDR2 Data Status:</t>
  </si>
  <si>
    <t>AL28</t>
  </si>
  <si>
    <t>AL9</t>
  </si>
  <si>
    <t>AL7</t>
  </si>
  <si>
    <t>AK2</t>
  </si>
  <si>
    <t>AK3</t>
  </si>
  <si>
    <t>AG1</t>
  </si>
  <si>
    <t>AH3</t>
  </si>
  <si>
    <t>AJ2</t>
  </si>
  <si>
    <t>AF3</t>
  </si>
  <si>
    <t>AE3</t>
  </si>
  <si>
    <t>AD6</t>
  </si>
  <si>
    <t>AD3</t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</si>
  <si>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DQ0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</si>
  <si>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DQ1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</si>
  <si>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DQ2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</si>
  <si>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DQ3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</si>
  <si>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DQ4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</si>
  <si>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DQ5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</si>
  <si>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DQ6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</si>
  <si>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DQ7</t>
    </r>
  </si>
  <si>
    <r>
      <t>SA_</t>
    </r>
    <r>
      <rPr>
        <sz val="10"/>
        <rFont val="Arial"/>
        <family val="2"/>
      </rPr>
      <t>DM0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</si>
  <si>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DQ8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</si>
  <si>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DQ9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</si>
  <si>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DQ10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</si>
  <si>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DQ11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</si>
  <si>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DQ12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</si>
  <si>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DQ13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</si>
  <si>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DQ15</t>
    </r>
  </si>
  <si>
    <r>
      <t>SA_</t>
    </r>
    <r>
      <rPr>
        <sz val="10"/>
        <rFont val="Arial"/>
        <family val="2"/>
      </rPr>
      <t>DM1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</si>
  <si>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DQ16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</si>
  <si>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DQ17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</si>
  <si>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DQ18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</si>
  <si>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DQ19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</si>
  <si>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DQ20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</si>
  <si>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DQ21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</si>
  <si>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DQ22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</si>
  <si>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DQ23</t>
    </r>
  </si>
  <si>
    <r>
      <t>SA_</t>
    </r>
    <r>
      <rPr>
        <sz val="10"/>
        <rFont val="Arial"/>
        <family val="2"/>
      </rPr>
      <t>DM2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</si>
  <si>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DQ24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</si>
  <si>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DQ25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</si>
  <si>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DQ26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</si>
  <si>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DQ27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</si>
  <si>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DQ28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</si>
  <si>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DQ29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</si>
  <si>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DQ30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</si>
  <si>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DQ31</t>
    </r>
  </si>
  <si>
    <r>
      <t>SA_</t>
    </r>
    <r>
      <rPr>
        <sz val="10"/>
        <rFont val="Arial"/>
        <family val="2"/>
      </rPr>
      <t>DM3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</si>
  <si>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DQ32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</si>
  <si>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DQ33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</si>
  <si>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DQ34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</si>
  <si>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DQ35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</si>
  <si>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DQ36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</si>
  <si>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DQ37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</si>
  <si>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DQ38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</si>
  <si>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DQ39</t>
    </r>
  </si>
  <si>
    <r>
      <t>SA_</t>
    </r>
    <r>
      <rPr>
        <sz val="10"/>
        <rFont val="Arial"/>
        <family val="2"/>
      </rPr>
      <t>DM4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</si>
  <si>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DQ40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</si>
  <si>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DQ41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</si>
  <si>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DQ42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</si>
  <si>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DQ43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</si>
  <si>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DQ44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</si>
  <si>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DQ45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</si>
  <si>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DQ46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</si>
  <si>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DQ47</t>
    </r>
  </si>
  <si>
    <r>
      <t>SA_</t>
    </r>
    <r>
      <rPr>
        <sz val="10"/>
        <rFont val="Arial"/>
        <family val="2"/>
      </rPr>
      <t>DM5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</si>
  <si>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DQ48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</si>
  <si>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DQ49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</si>
  <si>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DQ50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</si>
  <si>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DQ51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</si>
  <si>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DQ52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</si>
  <si>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DQ53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</si>
  <si>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DQ54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</si>
  <si>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DQ55</t>
    </r>
  </si>
  <si>
    <r>
      <t>SA_</t>
    </r>
    <r>
      <rPr>
        <sz val="10"/>
        <rFont val="Arial"/>
        <family val="2"/>
      </rPr>
      <t>DM6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</si>
  <si>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DQ56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</si>
  <si>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DQ57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</si>
  <si>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DQ58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</si>
  <si>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DQ59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</si>
  <si>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DQ60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</si>
  <si>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DQ61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</si>
  <si>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DQ62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</si>
  <si>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DQ63</t>
    </r>
  </si>
  <si>
    <r>
      <t>SA_</t>
    </r>
    <r>
      <rPr>
        <sz val="10"/>
        <rFont val="Arial"/>
        <family val="2"/>
      </rPr>
      <t>DM7</t>
    </r>
  </si>
  <si>
    <t>Changes to values on this worksheet will change the other worksheets.</t>
  </si>
  <si>
    <t>mil</t>
  </si>
  <si>
    <t>Data to DDR Strobe</t>
  </si>
  <si>
    <t>DIMMx CMD to DDR Clock</t>
  </si>
  <si>
    <t>SA_MA0</t>
  </si>
  <si>
    <t>Data/Strobe Group 0, Channel A</t>
  </si>
  <si>
    <t>Data/Strobe Group 1, Channel A</t>
  </si>
  <si>
    <t>Data/Strobe Group 2, Channel A</t>
  </si>
  <si>
    <t>Data/Strobe Group 3, Channel A</t>
  </si>
  <si>
    <t>Data/Strobe Group 4, Channel A</t>
  </si>
  <si>
    <t>Data/Strobe Group 5, Channel A</t>
  </si>
  <si>
    <t>Data/Strobe Group 6, Channel A</t>
  </si>
  <si>
    <t>Data/Strobe Group 7, Channel A</t>
  </si>
  <si>
    <t>DIMMx CTL to DDR Clock</t>
  </si>
  <si>
    <t>SODIMM</t>
  </si>
  <si>
    <t>Memory Down (SDRAM)</t>
  </si>
  <si>
    <t>Channel B CS#[1:0]</t>
  </si>
  <si>
    <t>Channel B ODT[1:0]</t>
  </si>
  <si>
    <t>Channel A/SDRAM Clocks</t>
  </si>
  <si>
    <t>Channel B/SODIMM Clocks</t>
  </si>
  <si>
    <t>Channel B CKE[1:0]</t>
  </si>
  <si>
    <t>Diff L8-1 &amp; L8-2 (&lt;=50 mils)</t>
  </si>
  <si>
    <t>CK[1:0]/CK#[1:0]</t>
  </si>
  <si>
    <t>CK[4:3]/CK#[4:3]</t>
  </si>
  <si>
    <t>Channel A / SDRAM</t>
  </si>
  <si>
    <t>Channel B / SODIMM</t>
  </si>
  <si>
    <t>Total MB Length to U2 (L0+L1+L2+S1+L5+Rs+L6+L7+L8-1+L10-2)</t>
  </si>
  <si>
    <t>Total MB Length to U3 (L0+L1+L2+S1+L5+Rs+L6+L7+L8-2+L10-3)</t>
  </si>
  <si>
    <t>Total MB Length to U4 (L0+L1+L2+S1+L5+Rs+L6+L7+L8-2+L9-2+L10-4)</t>
  </si>
  <si>
    <t>Total Pad to Pin U2 (P1+L0+L1+L2+S1+L5+Rs+L6+L7+L8-1+L10-2)</t>
  </si>
  <si>
    <t>Total Pad to Pin U3 (P1+L0+L1+L2+S1+L5+Rs+L6+L7+L8-2+L10-3)</t>
  </si>
  <si>
    <t>Total Pad to Pin U4 (P1+L0+L1+L2+S1+L5+Rs+L6+L7+L8-2+L9-2+L10-4)</t>
  </si>
  <si>
    <t>Clock Lengths including Package to U1</t>
  </si>
  <si>
    <t>Clock Lengths including Package to U4</t>
  </si>
  <si>
    <t>Clock Lengths including Package to U3</t>
  </si>
  <si>
    <t>Clock Lengths including Package to U2</t>
  </si>
  <si>
    <t>DDR2 Command Status:</t>
  </si>
  <si>
    <t>Channel A M_A_A[13:0]</t>
  </si>
  <si>
    <t>Channel A M_BS[1:0]</t>
  </si>
  <si>
    <t>Channel A Misc Command</t>
  </si>
  <si>
    <t>Channel A CKE[1:0]</t>
  </si>
  <si>
    <t>SA_DQ14</t>
  </si>
  <si>
    <t>Clock Lengths including Package to SODIMM</t>
  </si>
  <si>
    <t>Parameter (SODIMM)</t>
  </si>
  <si>
    <t>Parameter (Memory Down)</t>
  </si>
  <si>
    <t>Reference Clock Length</t>
  </si>
  <si>
    <t>Channel B M_B_A[13:0]</t>
  </si>
  <si>
    <t>Channel B M_BS[1:0]</t>
  </si>
  <si>
    <t>Channel B Misc Command</t>
  </si>
  <si>
    <t>SCK0 (U1, U2)</t>
  </si>
  <si>
    <t>SCK#0 (U1, U2)</t>
  </si>
  <si>
    <t>SCK1 (U3, U4)</t>
  </si>
  <si>
    <t>SCK#1 (U3, U4)</t>
  </si>
  <si>
    <t>U1</t>
  </si>
  <si>
    <t>U2</t>
  </si>
  <si>
    <t>U4</t>
  </si>
  <si>
    <t>U3</t>
  </si>
  <si>
    <t>Channel A Clocks</t>
  </si>
  <si>
    <t>Channel A Strobes</t>
  </si>
  <si>
    <t>U5</t>
  </si>
  <si>
    <t>U6</t>
  </si>
  <si>
    <t>U7</t>
  </si>
  <si>
    <t>U8</t>
  </si>
  <si>
    <t>SCK0 (U1)</t>
  </si>
  <si>
    <t>SCK#0 (U1)</t>
  </si>
  <si>
    <t>SCK0 (U2)</t>
  </si>
  <si>
    <t>SCK#0 (U2)</t>
  </si>
  <si>
    <t>SCK0 (U5)</t>
  </si>
  <si>
    <t>SCK#0 (U5)</t>
  </si>
  <si>
    <t>SCK0 (U6)</t>
  </si>
  <si>
    <t>SCK#0 (U6)</t>
  </si>
  <si>
    <t>SCK1 (U3)</t>
  </si>
  <si>
    <t>SCK#1 (U3)</t>
  </si>
  <si>
    <t>SCK1 (U4)</t>
  </si>
  <si>
    <t>SCK#1 (U4)</t>
  </si>
  <si>
    <t>SCK1 (U7)</t>
  </si>
  <si>
    <t>SCK#1 (U7)</t>
  </si>
  <si>
    <t>SCK1 (U8)</t>
  </si>
  <si>
    <t>SCK#1 (U8)</t>
  </si>
  <si>
    <t>CLK0/CLK0#</t>
  </si>
  <si>
    <t>CLK1/CLK1#</t>
  </si>
  <si>
    <t>Assumed Chip Configurations</t>
  </si>
  <si>
    <t>All Components on same side</t>
  </si>
  <si>
    <t>4 Components on each side</t>
  </si>
  <si>
    <t>Side A</t>
  </si>
  <si>
    <t>Side B</t>
  </si>
  <si>
    <t>SDRAM Component</t>
  </si>
  <si>
    <t xml:space="preserve">U1 </t>
  </si>
  <si>
    <t>SideB</t>
  </si>
  <si>
    <t>CMD</t>
  </si>
  <si>
    <t>Trace L10-4 to U6 [mil]</t>
  </si>
  <si>
    <t>Trace L10-3 to U2 [mil]</t>
  </si>
  <si>
    <t>Clock Lengths including Package to U5</t>
  </si>
  <si>
    <t>Clock Lengths including Package to U6</t>
  </si>
  <si>
    <t>Clock Lengths including Package to U7</t>
  </si>
  <si>
    <t>Clock Lengths including Package to U8</t>
  </si>
  <si>
    <t>1x8</t>
  </si>
  <si>
    <t>DQS0/DQS0#</t>
  </si>
  <si>
    <t>DQS1/DQS1#</t>
  </si>
  <si>
    <t>DQS2/DQS2#</t>
  </si>
  <si>
    <t>DQS3/DQS4#</t>
  </si>
  <si>
    <t>DQS4/DQS4#</t>
  </si>
  <si>
    <t>DQS5/DQS5#</t>
  </si>
  <si>
    <t>DQS6/DQS6#</t>
  </si>
  <si>
    <t>DQS7/DQS7#</t>
  </si>
  <si>
    <t>1x16</t>
  </si>
  <si>
    <t>AE15</t>
  </si>
  <si>
    <t>AD13</t>
  </si>
  <si>
    <t>AB25</t>
  </si>
  <si>
    <t>AE12</t>
  </si>
  <si>
    <t>AC21</t>
  </si>
  <si>
    <t>AC20</t>
  </si>
  <si>
    <t>AC19</t>
  </si>
  <si>
    <t>AD20</t>
  </si>
  <si>
    <t>AE19</t>
  </si>
  <si>
    <t>AE20</t>
  </si>
  <si>
    <t>AF20</t>
  </si>
  <si>
    <t>AF21</t>
  </si>
  <si>
    <t>AE21</t>
  </si>
  <si>
    <t>AA24</t>
  </si>
  <si>
    <t>AC11</t>
  </si>
  <si>
    <t>AB23</t>
  </si>
  <si>
    <t>AB24</t>
  </si>
  <si>
    <t>AF13</t>
  </si>
  <si>
    <t>AJ14</t>
  </si>
  <si>
    <t>AG14</t>
  </si>
  <si>
    <t>AJ13</t>
  </si>
  <si>
    <t>AC12</t>
  </si>
  <si>
    <t>AE14</t>
  </si>
  <si>
    <t>AF14</t>
  </si>
  <si>
    <t>AL13</t>
  </si>
  <si>
    <t>AC15</t>
  </si>
  <si>
    <t>AD14</t>
  </si>
  <si>
    <t>AG19</t>
  </si>
  <si>
    <t>AK20</t>
  </si>
  <si>
    <t>AC23</t>
  </si>
  <si>
    <t>AC25</t>
  </si>
  <si>
    <t>AJ21</t>
  </si>
  <si>
    <t>AD11</t>
  </si>
  <si>
    <t>AG13</t>
  </si>
  <si>
    <t>AL14</t>
  </si>
  <si>
    <t>AH12</t>
  </si>
  <si>
    <t>AF12</t>
  </si>
  <si>
    <t>AG12</t>
  </si>
  <si>
    <t>AK13</t>
  </si>
  <si>
    <t>AJ12</t>
  </si>
  <si>
    <t>AF25</t>
  </si>
  <si>
    <t>AG9</t>
  </si>
  <si>
    <t>AF26</t>
  </si>
  <si>
    <t>AF9</t>
  </si>
  <si>
    <t>AG5</t>
  </si>
  <si>
    <t>AB31</t>
  </si>
  <si>
    <t>AJ10</t>
  </si>
  <si>
    <t>AG7</t>
  </si>
  <si>
    <t>AL5</t>
  </si>
  <si>
    <t>AG28</t>
  </si>
  <si>
    <t>AJ26</t>
  </si>
  <si>
    <t>AG31</t>
  </si>
  <si>
    <t>AL27</t>
  </si>
  <si>
    <t>AK27</t>
  </si>
  <si>
    <t>AE27</t>
  </si>
  <si>
    <t>AJ25</t>
  </si>
  <si>
    <t>AG27</t>
  </si>
  <si>
    <t>AG26</t>
  </si>
  <si>
    <t>AK11</t>
  </si>
  <si>
    <t>AL11</t>
  </si>
  <si>
    <t>AJ7</t>
  </si>
  <si>
    <t>AL12</t>
  </si>
  <si>
    <t>AJ11</t>
  </si>
  <si>
    <t>AH9</t>
  </si>
  <si>
    <t>AJ9</t>
  </si>
  <si>
    <t>AG10</t>
  </si>
  <si>
    <t>AF10</t>
  </si>
  <si>
    <t>AH7</t>
  </si>
  <si>
    <t>AH11</t>
  </si>
  <si>
    <t>AG11</t>
  </si>
  <si>
    <t>AG6</t>
  </si>
  <si>
    <t>AE6</t>
  </si>
  <si>
    <t>AK7</t>
  </si>
  <si>
    <t>AK6</t>
  </si>
  <si>
    <t>AJ6</t>
  </si>
  <si>
    <t>AH2</t>
  </si>
  <si>
    <t>AC6</t>
  </si>
  <si>
    <t>AC7</t>
  </si>
  <si>
    <t>AC2</t>
  </si>
  <si>
    <t>Channel A CKE Bank[0]</t>
  </si>
  <si>
    <t>Channel A CKE Bank[1]</t>
  </si>
  <si>
    <t>Bank 0</t>
  </si>
  <si>
    <t>Bank1</t>
  </si>
  <si>
    <t>Total MB Length to U6 (L0+L1+L2+S1+L5+Rs+L6+L7+L8-1+L10-2)</t>
  </si>
  <si>
    <t>Total Pad to Pin U6 (P1+L0+L1+L2+S1+L5+Rs+L6+L7+L8-1+L10-2)</t>
  </si>
  <si>
    <t>Total MB Length to U7 (L0+L1+L2+S1+L5+Rs+L6+L7+L8-2+L10-3)</t>
  </si>
  <si>
    <t>Total Pad to Pin U7 (P1+L0+L1+L2+S1+L5+Rs+L6+L7+L8-2+L10-3)</t>
  </si>
  <si>
    <t>Total MB Length to U8 (L0+L1+L2+S1+L5+Rs+L6+L7+L8-2+L9-2+L10-4)</t>
  </si>
  <si>
    <t>Total Pad to Pin U8 (P1+L0+L1+L2+S1+L5+Rs+L6+L7+L8-2+L9-2+L10-4)</t>
  </si>
  <si>
    <t>Diff L6-1 &amp; L6-2 (&lt;=50 mils)</t>
  </si>
  <si>
    <t>Trace L8-2 [mil]</t>
  </si>
  <si>
    <t>Trace L8-3 to U2 [mil]</t>
  </si>
  <si>
    <t>Trace L8-4 to U6 [mil]</t>
  </si>
  <si>
    <t>Check for Pass/Fail for Total length to U5, U6,U7 &amp; U8 is not there</t>
  </si>
  <si>
    <t>DQS3/DQS3#</t>
  </si>
  <si>
    <t>Total MB Length to U2 (L0+L1+L2+L5+L6-1+L8-2)</t>
  </si>
  <si>
    <t>Total Pad to Pin U2 (P1+L0+L1+L2+L5+L6-1+L8-2)</t>
  </si>
  <si>
    <t>Total MB Length to U6 (L0+L1+L2+L5+L6-1+L8-2)</t>
  </si>
  <si>
    <t>Total Pad to Pin U6 (P1+L0+L1+L2+L5+L6-1+L8-2)</t>
  </si>
  <si>
    <t>Total MB Length to U3 (L0+L1+L2+L5+L6-2+L8-3)</t>
  </si>
  <si>
    <t>Total Pad to Pin U3 (P1+L0+L1+L2+L5+L6-2+L8-3)</t>
  </si>
  <si>
    <t>Total MB Length to U7 (L0+L1+L2+L5+L6-2+L8-3)</t>
  </si>
  <si>
    <t>Total Pad to Pin U7 (P1+L0+L1+L2+L5+L6-2+L8-3)</t>
  </si>
  <si>
    <t>Total MB Length to U4 (L0+L1+L2+L5+L6-2+L7-2+L8-4)</t>
  </si>
  <si>
    <t>Total Pad to Pin U4 (P1+L0+L1+L2+L5+L6-2+L7-2+L8-4)</t>
  </si>
  <si>
    <t>Total MB Length to U8 (L0+L1+L2+L5+L6-2+L7-2+L8-4)</t>
  </si>
  <si>
    <t>Total Pad to Pin U8 (P1+L0+L1+L2+L5+L6-2+L7-2+L8-4)</t>
  </si>
  <si>
    <t>8 Components on each side</t>
  </si>
  <si>
    <t>Trace L9-3 to U2 [mil]</t>
  </si>
  <si>
    <t>Trace L9-4 to U6 [mil]</t>
  </si>
  <si>
    <t>CSFF
Signal</t>
  </si>
  <si>
    <t>CSFF
Ball</t>
  </si>
  <si>
    <t>CSFF
Package
Length
[mils]</t>
  </si>
  <si>
    <t>SCK2</t>
  </si>
  <si>
    <t>SCK#2</t>
  </si>
  <si>
    <t>AF33</t>
  </si>
  <si>
    <t>AJ1</t>
  </si>
  <si>
    <t>AM30</t>
  </si>
  <si>
    <t>AG33</t>
  </si>
  <si>
    <t>AK1</t>
  </si>
  <si>
    <t>AN30</t>
  </si>
  <si>
    <t>AN20</t>
  </si>
  <si>
    <t>AK21</t>
  </si>
  <si>
    <t>AK22</t>
  </si>
  <si>
    <t>AL22</t>
  </si>
  <si>
    <t>AH22</t>
  </si>
  <si>
    <t>AG22</t>
  </si>
  <si>
    <t>AM21</t>
  </si>
  <si>
    <t>AE22</t>
  </si>
  <si>
    <t>AE26</t>
  </si>
  <si>
    <t>AK17</t>
  </si>
  <si>
    <t>AH17</t>
  </si>
  <si>
    <t>AM17</t>
  </si>
  <si>
    <t>AM15</t>
  </si>
  <si>
    <t>AH15</t>
  </si>
  <si>
    <t>AK15</t>
  </si>
  <si>
    <t>AN15</t>
  </si>
  <si>
    <t>AJ18</t>
  </si>
  <si>
    <t>AF19</t>
  </si>
  <si>
    <t>AN17</t>
  </si>
  <si>
    <t>AL17</t>
  </si>
  <si>
    <t>AG16</t>
  </si>
  <si>
    <t>AL18</t>
  </si>
  <si>
    <t>AG18</t>
  </si>
  <si>
    <t>AK12</t>
  </si>
  <si>
    <t>AG17</t>
  </si>
  <si>
    <t>AJ17</t>
  </si>
  <si>
    <t>AG21</t>
  </si>
  <si>
    <t>CSFF Signal</t>
  </si>
  <si>
    <t>AN21</t>
  </si>
  <si>
    <t>AN22</t>
  </si>
  <si>
    <t>Y25</t>
  </si>
  <si>
    <t>Y24</t>
  </si>
  <si>
    <t>AB21</t>
  </si>
  <si>
    <t>AB19</t>
  </si>
  <si>
    <t>AB16</t>
  </si>
  <si>
    <t>AB14</t>
  </si>
  <si>
    <t>AA12</t>
  </si>
  <si>
    <t>W24</t>
  </si>
  <si>
    <t>AB22</t>
  </si>
  <si>
    <t>AB20</t>
  </si>
  <si>
    <t>AB18</t>
  </si>
  <si>
    <t>AB15</t>
  </si>
  <si>
    <t>AB13</t>
  </si>
  <si>
    <t>AB12</t>
  </si>
  <si>
    <t>CSFF Ball</t>
  </si>
  <si>
    <t>CSFF Package Length [mils]</t>
  </si>
  <si>
    <t>AH30</t>
  </si>
  <si>
    <t>AL32</t>
  </si>
  <si>
    <t>AJ28</t>
  </si>
  <si>
    <t>AJ27</t>
  </si>
  <si>
    <t>AH32</t>
  </si>
  <si>
    <t>AF31</t>
  </si>
  <si>
    <t>AH27</t>
  </si>
  <si>
    <t>AF28</t>
  </si>
  <si>
    <t>AJ32</t>
  </si>
  <si>
    <t>AN27</t>
  </si>
  <si>
    <t>AM26</t>
  </si>
  <si>
    <t>AN26</t>
  </si>
  <si>
    <t>AH25</t>
  </si>
  <si>
    <t>AM12</t>
  </si>
  <si>
    <t>AK9</t>
  </si>
  <si>
    <t>AM11</t>
  </si>
  <si>
    <t>AM8</t>
  </si>
  <si>
    <t>AK8</t>
  </si>
  <si>
    <t>AF8</t>
  </si>
  <si>
    <t>AF7</t>
  </si>
  <si>
    <t>AH6</t>
  </si>
  <si>
    <t>AN6</t>
  </si>
  <si>
    <t>AM6</t>
  </si>
  <si>
    <t>AL2</t>
  </si>
  <si>
    <t>AM5</t>
  </si>
  <si>
    <t>AJ3</t>
  </si>
  <si>
    <t>AG2</t>
  </si>
  <si>
    <t>AE7</t>
  </si>
  <si>
    <t>AH5</t>
  </si>
  <si>
    <t>AG3</t>
  </si>
  <si>
    <t>AF5</t>
  </si>
  <si>
    <t>AH31</t>
  </si>
  <si>
    <t>AK31</t>
  </si>
  <si>
    <t>AE31</t>
  </si>
  <si>
    <t>AB32</t>
  </si>
  <si>
    <t>AF32</t>
  </si>
  <si>
    <t>AC33</t>
  </si>
  <si>
    <t>AC31</t>
  </si>
  <si>
    <t>AB28</t>
  </si>
  <si>
    <t>AE33</t>
  </si>
  <si>
    <t>AB30</t>
  </si>
  <si>
    <t>AL31</t>
  </si>
  <si>
    <t>AF30</t>
  </si>
  <si>
    <t>AK26</t>
  </si>
  <si>
    <t>AK5</t>
  </si>
  <si>
    <t>CTL to DDR Clock</t>
  </si>
  <si>
    <t>CMD to DDR Clock</t>
  </si>
  <si>
    <t>Channel A Strobe to DDR Clock</t>
  </si>
  <si>
    <t>Channel B Strobe to DDR Clock</t>
  </si>
  <si>
    <t>2x16</t>
  </si>
  <si>
    <t>U1, U5</t>
  </si>
  <si>
    <t>U2, U6</t>
  </si>
  <si>
    <t>U3, U7</t>
  </si>
  <si>
    <t>U4, U8</t>
  </si>
  <si>
    <t>Escape
Length L0
 [mil]</t>
  </si>
  <si>
    <t>Breakout
Length L1
[mil]</t>
  </si>
  <si>
    <t>Main
Length L2
[mil ]</t>
  </si>
  <si>
    <t>Breakin
Length S1  
[mil]</t>
  </si>
  <si>
    <t>Via-to-via (SODIMM-to-Rt) L3 [mil]</t>
  </si>
  <si>
    <t>Via-to-Rt 
L4 [mil]</t>
  </si>
  <si>
    <t>Total MB Length
(L0+L1+L2+S1)
[mil]</t>
  </si>
  <si>
    <t>Total Pad-to-Pin Length (P1+L0+L1+L2+S1)
[mil]</t>
  </si>
  <si>
    <t>Target Min Length 
[mil]</t>
  </si>
  <si>
    <t>Target Max Length 
[mil]</t>
  </si>
  <si>
    <t>Routed Too Short [mil]</t>
  </si>
  <si>
    <t>Routed Too Long [mil]</t>
  </si>
  <si>
    <t>L0 Length Test (&lt;=50mil)</t>
  </si>
  <si>
    <t>L1 Length Test (&lt;=500mil)</t>
  </si>
  <si>
    <t>S1 Length test (&lt;=200mil)</t>
  </si>
  <si>
    <t>Total Length    (L0+L1+L2+S1) Test
 (500-3500mil)</t>
  </si>
  <si>
    <t>Total Length    (P1+L0+L1+L2+S1) Test
 (&lt;=4000mil)</t>
  </si>
  <si>
    <t>L3 Length Test (&lt;=1300mil)</t>
  </si>
  <si>
    <t>L4 Length Test (&lt;=200mil) or (L3+L4&lt;= 1500mil)</t>
  </si>
  <si>
    <t>Via-to-Rt
L4 [mil]</t>
  </si>
  <si>
    <t>Trace L5 [mil]</t>
  </si>
  <si>
    <t>Trace L6-1 [mil]</t>
  </si>
  <si>
    <t>Trace L7-1 [mil]</t>
  </si>
  <si>
    <t>Trace L8-1 to U1 [mil]</t>
  </si>
  <si>
    <t>Trace L8-2 to U5 [mil]</t>
  </si>
  <si>
    <t>Total MB Length to U1 (L0+L1+L2+L5+L6-1+L7-1+L8-1) [mil]</t>
  </si>
  <si>
    <t>Total Pad to Pin U1 (P1+L0+L1+L2+L5+L6-1+L7-1+L8-1) [mil]</t>
  </si>
  <si>
    <t>Target Min Length to U1
[mil]</t>
  </si>
  <si>
    <t>Target Max Length  to U1 
[mil]</t>
  </si>
  <si>
    <t>Routed Too Short  to U1 [mil]</t>
  </si>
  <si>
    <t>Routed Too Long  to U1 [mil]</t>
  </si>
  <si>
    <t>Total MB Length to U5 (L0+L1+L2+L5+L6-1+L7-1+L8-2) [mil]</t>
  </si>
  <si>
    <t>Total Pad to Pin U5 (P1+L0+L1+L2+L5+L6-1+L7-1+L8-2) [mil]</t>
  </si>
  <si>
    <t>Target Min Length to U5
[mil]</t>
  </si>
  <si>
    <t>Target Max Length  to U5 
[mil]</t>
  </si>
  <si>
    <t>Routed Too Short  to U5 [mil]</t>
  </si>
  <si>
    <t>Routed Too Long  to U5 [mil]</t>
  </si>
  <si>
    <t>L3 Length Test (&lt;=1000mil)</t>
  </si>
  <si>
    <t>L4 Length Test (&lt;=200mil) or (L3+L4&lt;= 1200mil)</t>
  </si>
  <si>
    <t>L5 Length Test (&lt;=1500mil)</t>
  </si>
  <si>
    <t>L6-1 Length Test (&lt;=1000mil)</t>
  </si>
  <si>
    <t>L7-1 Length Test (&lt;=1250mil)</t>
  </si>
  <si>
    <t>Diff L7-1 &amp; L7-2 (&lt;=50mil)</t>
  </si>
  <si>
    <t>L8-1 Length Test (&lt;=200mil) or (L7-1+L8-1&lt;= 1450mil)</t>
  </si>
  <si>
    <t>L8-2 Length Test (&lt;=200mil) or (L7-1+L8-2&lt;= 1450mil)</t>
  </si>
  <si>
    <t>Total Length to U1 (L0+L1+L2+L5+L6-1+L7-1+L8-1) Test
 (500-6500mil)</t>
  </si>
  <si>
    <t>Total Length to U1 (P1+L0+L1+L2+L5+L6-1+L7-1+L8-1) Test
 (&lt;=7000mil)</t>
  </si>
  <si>
    <t>Total Length to U5 (L0+L1+L2+L5+L6-1+L7-1+L8-2) Test
 (500-6500mil)</t>
  </si>
  <si>
    <t>Total Length to U5(P1+L0+L1+L2+L5+L6-1+L7-1+L8-2) Test
 (&lt;=7000mil)</t>
  </si>
  <si>
    <t>Channel A CKE</t>
  </si>
  <si>
    <t>Trace L6-2 [mil]</t>
  </si>
  <si>
    <t>Trace L8-5 to U3 [mil]</t>
  </si>
  <si>
    <t>Trace L8-6 to U7 [mil]</t>
  </si>
  <si>
    <t>Trace L7-2 [mil]</t>
  </si>
  <si>
    <t>Trace L8-7 to U4 [mil]</t>
  </si>
  <si>
    <t>Trace L8-8 to U8 [mil]</t>
  </si>
  <si>
    <t>TOP</t>
  </si>
  <si>
    <t>BOT</t>
  </si>
  <si>
    <t>CLK0</t>
  </si>
  <si>
    <t>L8-1</t>
  </si>
  <si>
    <t>L8-2</t>
  </si>
  <si>
    <t>L8-3</t>
  </si>
  <si>
    <t>L8-4</t>
  </si>
  <si>
    <t>CLK1</t>
  </si>
  <si>
    <t>L8-5</t>
  </si>
  <si>
    <t>L8-6</t>
  </si>
  <si>
    <t>L8-7</t>
  </si>
  <si>
    <t>L8-8</t>
  </si>
  <si>
    <t xml:space="preserve">
U4</t>
  </si>
  <si>
    <t>Target</t>
    <phoneticPr fontId="35" type="noConversion"/>
  </si>
  <si>
    <t>Target</t>
    <phoneticPr fontId="45" type="noConversion"/>
  </si>
  <si>
    <t>Target</t>
    <phoneticPr fontId="35" type="noConversion"/>
  </si>
  <si>
    <t>Target</t>
    <phoneticPr fontId="45" type="noConversion"/>
  </si>
  <si>
    <t>HDA_SYNC</t>
  </si>
  <si>
    <t>HDA_SDOUT</t>
  </si>
  <si>
    <t>CRT Design Guidelines</t>
    <phoneticPr fontId="35" type="noConversion"/>
  </si>
  <si>
    <t>LVDS Design Guidelines</t>
    <phoneticPr fontId="35" type="noConversion"/>
  </si>
  <si>
    <t>PCIex1 Design Guidelines</t>
    <phoneticPr fontId="35" type="noConversion"/>
  </si>
  <si>
    <t>SATA Design Guidelines</t>
    <phoneticPr fontId="35" type="noConversion"/>
  </si>
  <si>
    <t>+/-500mil</t>
    <phoneticPr fontId="45" type="noConversion"/>
  </si>
  <si>
    <t>Target</t>
    <phoneticPr fontId="45" type="noConversion"/>
  </si>
  <si>
    <t>SMB_DATA</t>
    <phoneticPr fontId="35" type="noConversion"/>
  </si>
  <si>
    <t>SMB_CLK</t>
    <phoneticPr fontId="35" type="noConversion"/>
  </si>
  <si>
    <t>HDA_SDIN1</t>
    <phoneticPr fontId="35" type="noConversion"/>
  </si>
  <si>
    <t>HDA_SDIN2</t>
    <phoneticPr fontId="35" type="noConversion"/>
  </si>
  <si>
    <t>+/-250mil</t>
    <phoneticPr fontId="35" type="noConversion"/>
  </si>
  <si>
    <t>+/-2mil</t>
    <phoneticPr fontId="35" type="noConversion"/>
  </si>
  <si>
    <t>Difference signal is +/-2mil,
Total is +/-250mil</t>
    <phoneticPr fontId="45" type="noConversion"/>
  </si>
  <si>
    <t>+/-2mil</t>
    <phoneticPr fontId="45" type="noConversion"/>
  </si>
  <si>
    <t>PCIeX16 Design Guidelines</t>
    <phoneticPr fontId="35" type="noConversion"/>
  </si>
  <si>
    <t>COMexpress connector Pin Name</t>
    <phoneticPr fontId="35" type="noConversion"/>
  </si>
  <si>
    <t>PEG_RX0</t>
    <phoneticPr fontId="45" type="noConversion"/>
  </si>
  <si>
    <t>Target</t>
    <phoneticPr fontId="45" type="noConversion"/>
  </si>
  <si>
    <t>Difference signal is +/-2mil,
Total is +/-500mil</t>
    <phoneticPr fontId="45" type="noConversion"/>
  </si>
  <si>
    <t>PEG_RX#0</t>
    <phoneticPr fontId="45" type="noConversion"/>
  </si>
  <si>
    <t>PEG_RX1</t>
    <phoneticPr fontId="45" type="noConversion"/>
  </si>
  <si>
    <t>PEG_RX#1</t>
    <phoneticPr fontId="45" type="noConversion"/>
  </si>
  <si>
    <t>PEG_RX2</t>
    <phoneticPr fontId="45" type="noConversion"/>
  </si>
  <si>
    <t>PEG_RX#2</t>
    <phoneticPr fontId="45" type="noConversion"/>
  </si>
  <si>
    <t>PEG_RX3</t>
    <phoneticPr fontId="45" type="noConversion"/>
  </si>
  <si>
    <t>PEG_RX#3</t>
    <phoneticPr fontId="45" type="noConversion"/>
  </si>
  <si>
    <t>PEG_RX4</t>
    <phoneticPr fontId="45" type="noConversion"/>
  </si>
  <si>
    <t>PEG_RX#4</t>
    <phoneticPr fontId="45" type="noConversion"/>
  </si>
  <si>
    <t>PEG_RX5</t>
    <phoneticPr fontId="45" type="noConversion"/>
  </si>
  <si>
    <t>PEG_RX#5</t>
    <phoneticPr fontId="45" type="noConversion"/>
  </si>
  <si>
    <t>PEG_RX6</t>
    <phoneticPr fontId="45" type="noConversion"/>
  </si>
  <si>
    <t>PEG_RX#6</t>
    <phoneticPr fontId="45" type="noConversion"/>
  </si>
  <si>
    <t>PEG_RX7</t>
    <phoneticPr fontId="45" type="noConversion"/>
  </si>
  <si>
    <t>PEG_RX#7</t>
    <phoneticPr fontId="45" type="noConversion"/>
  </si>
  <si>
    <t>PEG_RX8</t>
    <phoneticPr fontId="45" type="noConversion"/>
  </si>
  <si>
    <t>PEG_RX#8</t>
    <phoneticPr fontId="45" type="noConversion"/>
  </si>
  <si>
    <t>PEG_RX9</t>
    <phoneticPr fontId="45" type="noConversion"/>
  </si>
  <si>
    <t>PEG_RX#9</t>
    <phoneticPr fontId="45" type="noConversion"/>
  </si>
  <si>
    <t>PEG_RX10</t>
    <phoneticPr fontId="45" type="noConversion"/>
  </si>
  <si>
    <t>PEG_RX#10</t>
    <phoneticPr fontId="45" type="noConversion"/>
  </si>
  <si>
    <t>PEG_RX11</t>
    <phoneticPr fontId="45" type="noConversion"/>
  </si>
  <si>
    <t>PEG_RX#11</t>
    <phoneticPr fontId="45" type="noConversion"/>
  </si>
  <si>
    <t>PEG_RX12</t>
    <phoneticPr fontId="45" type="noConversion"/>
  </si>
  <si>
    <t>PEG_RX#12</t>
    <phoneticPr fontId="45" type="noConversion"/>
  </si>
  <si>
    <t>PEG_RX13</t>
    <phoneticPr fontId="45" type="noConversion"/>
  </si>
  <si>
    <t>PEG_RX#13</t>
    <phoneticPr fontId="45" type="noConversion"/>
  </si>
  <si>
    <t>PEG_RX14</t>
    <phoneticPr fontId="45" type="noConversion"/>
  </si>
  <si>
    <t>PEG_RX#14</t>
    <phoneticPr fontId="45" type="noConversion"/>
  </si>
  <si>
    <t>PEG_RX15</t>
    <phoneticPr fontId="45" type="noConversion"/>
  </si>
  <si>
    <t>PEG_RX#15</t>
    <phoneticPr fontId="45" type="noConversion"/>
  </si>
  <si>
    <t>PEG_TX0</t>
    <phoneticPr fontId="45" type="noConversion"/>
  </si>
  <si>
    <t>PEG_TX#0</t>
    <phoneticPr fontId="45" type="noConversion"/>
  </si>
  <si>
    <t>PEG_TX1</t>
    <phoneticPr fontId="45" type="noConversion"/>
  </si>
  <si>
    <t>PEG_TX#1</t>
    <phoneticPr fontId="45" type="noConversion"/>
  </si>
  <si>
    <t>PEG_TX2</t>
    <phoneticPr fontId="45" type="noConversion"/>
  </si>
  <si>
    <t>PEG_TX#2</t>
    <phoneticPr fontId="45" type="noConversion"/>
  </si>
  <si>
    <t>PEG_TX3</t>
    <phoneticPr fontId="45" type="noConversion"/>
  </si>
  <si>
    <t>PEG_TX#3</t>
    <phoneticPr fontId="45" type="noConversion"/>
  </si>
  <si>
    <t>PEG_TX4</t>
    <phoneticPr fontId="45" type="noConversion"/>
  </si>
  <si>
    <t>PEG_TX#4</t>
    <phoneticPr fontId="45" type="noConversion"/>
  </si>
  <si>
    <t>COMexpress connector Pin Name</t>
    <phoneticPr fontId="35" type="noConversion"/>
  </si>
  <si>
    <t>Difference signal is +/-2mil,
Total is +/-10mil</t>
    <phoneticPr fontId="45" type="noConversion"/>
  </si>
  <si>
    <t xml:space="preserve">Impedances </t>
    <phoneticPr fontId="45" type="noConversion"/>
  </si>
  <si>
    <t>Impedances</t>
    <phoneticPr fontId="45" type="noConversion"/>
  </si>
  <si>
    <t>Zo=50ohm</t>
    <phoneticPr fontId="45" type="noConversion"/>
  </si>
  <si>
    <t>Zo=50ohm</t>
    <phoneticPr fontId="45" type="noConversion"/>
  </si>
  <si>
    <t>Impedances</t>
    <phoneticPr fontId="35" type="noConversion"/>
  </si>
  <si>
    <t>PCIE_RX0-</t>
    <phoneticPr fontId="35" type="noConversion"/>
  </si>
  <si>
    <t>PCIE_RX0+</t>
    <phoneticPr fontId="35" type="noConversion"/>
  </si>
  <si>
    <t>PCIE_TX0+</t>
    <phoneticPr fontId="35" type="noConversion"/>
  </si>
  <si>
    <t>PCIE_RX1-</t>
    <phoneticPr fontId="35" type="noConversion"/>
  </si>
  <si>
    <t>PCIE_RX1+</t>
    <phoneticPr fontId="35" type="noConversion"/>
  </si>
  <si>
    <t>PCIE_TX1-</t>
    <phoneticPr fontId="35" type="noConversion"/>
  </si>
  <si>
    <t>PCIE_TX1+</t>
    <phoneticPr fontId="35" type="noConversion"/>
  </si>
  <si>
    <t>PCIE_RX2-</t>
    <phoneticPr fontId="35" type="noConversion"/>
  </si>
  <si>
    <t>PCIE_RX2+</t>
    <phoneticPr fontId="35" type="noConversion"/>
  </si>
  <si>
    <t>PCIE_TX2-</t>
    <phoneticPr fontId="35" type="noConversion"/>
  </si>
  <si>
    <t>PCIE_TX2+</t>
    <phoneticPr fontId="35" type="noConversion"/>
  </si>
  <si>
    <t>PCIE_RX3-</t>
    <phoneticPr fontId="35" type="noConversion"/>
  </si>
  <si>
    <t>PCIE_RX3+</t>
    <phoneticPr fontId="35" type="noConversion"/>
  </si>
  <si>
    <t>PCIE_TX3-</t>
    <phoneticPr fontId="35" type="noConversion"/>
  </si>
  <si>
    <t>PCIE_TX3+</t>
    <phoneticPr fontId="35" type="noConversion"/>
  </si>
  <si>
    <t>PCIE_RX4-</t>
    <phoneticPr fontId="35" type="noConversion"/>
  </si>
  <si>
    <t>PCIE_RX4+</t>
    <phoneticPr fontId="35" type="noConversion"/>
  </si>
  <si>
    <t>PCIE_TX4-</t>
    <phoneticPr fontId="35" type="noConversion"/>
  </si>
  <si>
    <t>PCIE_TX4+</t>
    <phoneticPr fontId="35" type="noConversion"/>
  </si>
  <si>
    <t>PCIE_RX5-</t>
    <phoneticPr fontId="35" type="noConversion"/>
  </si>
  <si>
    <t>PCIE_RX5+</t>
    <phoneticPr fontId="35" type="noConversion"/>
  </si>
  <si>
    <t>PCIE_TX5-</t>
    <phoneticPr fontId="35" type="noConversion"/>
  </si>
  <si>
    <t>PCIE_TX5+</t>
    <phoneticPr fontId="35" type="noConversion"/>
  </si>
  <si>
    <t>PCIE_RX6-</t>
    <phoneticPr fontId="35" type="noConversion"/>
  </si>
  <si>
    <t>PCIE_RX6+</t>
    <phoneticPr fontId="35" type="noConversion"/>
  </si>
  <si>
    <t>PCIE_TX6-</t>
    <phoneticPr fontId="35" type="noConversion"/>
  </si>
  <si>
    <t>PCIE_TX6+</t>
    <phoneticPr fontId="35" type="noConversion"/>
  </si>
  <si>
    <t>Via limit</t>
    <phoneticPr fontId="45" type="noConversion"/>
  </si>
  <si>
    <t>Zdiff=85ohm</t>
    <phoneticPr fontId="35" type="noConversion"/>
  </si>
  <si>
    <t>Via</t>
    <phoneticPr fontId="35" type="noConversion"/>
  </si>
  <si>
    <t>Via limit</t>
    <phoneticPr fontId="35" type="noConversion"/>
  </si>
  <si>
    <t>USB_SSRX0-</t>
    <phoneticPr fontId="35" type="noConversion"/>
  </si>
  <si>
    <t>USB_SSRX0+</t>
    <phoneticPr fontId="35" type="noConversion"/>
  </si>
  <si>
    <t>USB_SSTX0-</t>
    <phoneticPr fontId="35" type="noConversion"/>
  </si>
  <si>
    <t>USB_SSTX0+</t>
    <phoneticPr fontId="35" type="noConversion"/>
  </si>
  <si>
    <t>USB_SSRX1-</t>
    <phoneticPr fontId="35" type="noConversion"/>
  </si>
  <si>
    <t>USB_SSRX1+</t>
    <phoneticPr fontId="35" type="noConversion"/>
  </si>
  <si>
    <t>USB_SSTX1-</t>
    <phoneticPr fontId="35" type="noConversion"/>
  </si>
  <si>
    <t>USB_SSTX1+</t>
    <phoneticPr fontId="35" type="noConversion"/>
  </si>
  <si>
    <t>USB_SSRX2-</t>
    <phoneticPr fontId="35" type="noConversion"/>
  </si>
  <si>
    <t>USB_SSRX2+</t>
    <phoneticPr fontId="35" type="noConversion"/>
  </si>
  <si>
    <t>USB_SSTX2-</t>
    <phoneticPr fontId="35" type="noConversion"/>
  </si>
  <si>
    <t>USB_SSTX2+</t>
    <phoneticPr fontId="35" type="noConversion"/>
  </si>
  <si>
    <t>USB_SSRX3-</t>
    <phoneticPr fontId="35" type="noConversion"/>
  </si>
  <si>
    <t>USB_SSRX3+</t>
    <phoneticPr fontId="35" type="noConversion"/>
  </si>
  <si>
    <t>USB_SSTX3-</t>
    <phoneticPr fontId="35" type="noConversion"/>
  </si>
  <si>
    <t>USB_SSTX3+</t>
    <phoneticPr fontId="35" type="noConversion"/>
  </si>
  <si>
    <t>Space with other signals(mil)</t>
    <phoneticPr fontId="45" type="noConversion"/>
  </si>
  <si>
    <t>Space with other signals (mil)</t>
    <phoneticPr fontId="45" type="noConversion"/>
  </si>
  <si>
    <t>Trace Length(mil)</t>
    <phoneticPr fontId="35" type="noConversion"/>
  </si>
  <si>
    <t>Carrier Board
Trace Length limit</t>
    <phoneticPr fontId="45" type="noConversion"/>
  </si>
  <si>
    <t>Carrier Board
Trace Length limit</t>
    <phoneticPr fontId="35" type="noConversion"/>
  </si>
  <si>
    <t>Space with 
other signals(mil)</t>
    <phoneticPr fontId="45" type="noConversion"/>
  </si>
  <si>
    <t>Via limit</t>
  </si>
  <si>
    <t>USB0-</t>
    <phoneticPr fontId="35" type="noConversion"/>
  </si>
  <si>
    <t>USB0+</t>
    <phoneticPr fontId="35" type="noConversion"/>
  </si>
  <si>
    <t>USB1-</t>
    <phoneticPr fontId="35" type="noConversion"/>
  </si>
  <si>
    <t>USB1+</t>
    <phoneticPr fontId="35" type="noConversion"/>
  </si>
  <si>
    <t>USB2-</t>
    <phoneticPr fontId="35" type="noConversion"/>
  </si>
  <si>
    <t>USB2+</t>
    <phoneticPr fontId="35" type="noConversion"/>
  </si>
  <si>
    <t>USB3-</t>
    <phoneticPr fontId="35" type="noConversion"/>
  </si>
  <si>
    <t>USB3+</t>
    <phoneticPr fontId="35" type="noConversion"/>
  </si>
  <si>
    <t>USB4-</t>
    <phoneticPr fontId="35" type="noConversion"/>
  </si>
  <si>
    <t>USB4+</t>
    <phoneticPr fontId="35" type="noConversion"/>
  </si>
  <si>
    <t>USB5-</t>
    <phoneticPr fontId="35" type="noConversion"/>
  </si>
  <si>
    <t>USB5+</t>
    <phoneticPr fontId="35" type="noConversion"/>
  </si>
  <si>
    <t>USB6-</t>
    <phoneticPr fontId="35" type="noConversion"/>
  </si>
  <si>
    <t>USB6+</t>
    <phoneticPr fontId="35" type="noConversion"/>
  </si>
  <si>
    <t>USB7-</t>
    <phoneticPr fontId="35" type="noConversion"/>
  </si>
  <si>
    <t>USB7+</t>
    <phoneticPr fontId="35" type="noConversion"/>
  </si>
  <si>
    <t>HDA_BITCLK</t>
    <phoneticPr fontId="35" type="noConversion"/>
  </si>
  <si>
    <t>HDA_RST#</t>
    <phoneticPr fontId="35" type="noConversion"/>
  </si>
  <si>
    <t>HDA_SDIN0</t>
    <phoneticPr fontId="35" type="noConversion"/>
  </si>
  <si>
    <t>NA</t>
    <phoneticPr fontId="35" type="noConversion"/>
  </si>
  <si>
    <t>Trace Length(mil)</t>
    <phoneticPr fontId="35" type="noConversion"/>
  </si>
  <si>
    <t>Zo=50ohm</t>
    <phoneticPr fontId="35" type="noConversion"/>
  </si>
  <si>
    <t>Zo=50ohm</t>
    <phoneticPr fontId="35" type="noConversion"/>
  </si>
  <si>
    <t>Space(mil)</t>
    <phoneticPr fontId="45" type="noConversion"/>
  </si>
  <si>
    <t>GBE0_MDI0+</t>
    <phoneticPr fontId="35" type="noConversion"/>
  </si>
  <si>
    <t>GBE0_MDI0-</t>
    <phoneticPr fontId="35" type="noConversion"/>
  </si>
  <si>
    <t>GBE0_MDI1+</t>
    <phoneticPr fontId="35" type="noConversion"/>
  </si>
  <si>
    <t>GBE0_MDI1-</t>
    <phoneticPr fontId="35" type="noConversion"/>
  </si>
  <si>
    <t>GBE0_MDI2+</t>
    <phoneticPr fontId="35" type="noConversion"/>
  </si>
  <si>
    <t>GBE0_MDI2-</t>
    <phoneticPr fontId="35" type="noConversion"/>
  </si>
  <si>
    <t>GBE0_MDI3+</t>
    <phoneticPr fontId="35" type="noConversion"/>
  </si>
  <si>
    <t>GBE0_MDI3-</t>
    <phoneticPr fontId="35" type="noConversion"/>
  </si>
  <si>
    <t>Carrier Board
Trace Length limi</t>
    <phoneticPr fontId="35" type="noConversion"/>
  </si>
  <si>
    <t>Zdiff=85ohm</t>
    <phoneticPr fontId="35" type="noConversion"/>
  </si>
  <si>
    <t>Zdiff=100ohm</t>
    <phoneticPr fontId="35" type="noConversion"/>
  </si>
  <si>
    <t>SATA0_RX-</t>
    <phoneticPr fontId="35" type="noConversion"/>
  </si>
  <si>
    <t>SATA0_RX+</t>
    <phoneticPr fontId="35" type="noConversion"/>
  </si>
  <si>
    <t>SATA0_TX-</t>
    <phoneticPr fontId="35" type="noConversion"/>
  </si>
  <si>
    <t>SATA0_TX+</t>
    <phoneticPr fontId="35" type="noConversion"/>
  </si>
  <si>
    <t>SATA1_RX-</t>
    <phoneticPr fontId="35" type="noConversion"/>
  </si>
  <si>
    <t>SATA1_RX+</t>
    <phoneticPr fontId="35" type="noConversion"/>
  </si>
  <si>
    <t>SATA1_TX-</t>
    <phoneticPr fontId="35" type="noConversion"/>
  </si>
  <si>
    <t>SATA1_TX+</t>
    <phoneticPr fontId="35" type="noConversion"/>
  </si>
  <si>
    <t>LPC Design Guidelines</t>
    <phoneticPr fontId="35" type="noConversion"/>
  </si>
  <si>
    <t>Target</t>
    <phoneticPr fontId="35" type="noConversion"/>
  </si>
  <si>
    <t>COMexpress Design Guide
Trace Length limit</t>
    <phoneticPr fontId="35" type="noConversion"/>
  </si>
  <si>
    <t>NA</t>
    <phoneticPr fontId="35" type="noConversion"/>
  </si>
  <si>
    <t>Zo=50ohm</t>
  </si>
  <si>
    <t>Zo=50ohm</t>
    <phoneticPr fontId="35" type="noConversion"/>
  </si>
  <si>
    <t>PCIeX16</t>
    <phoneticPr fontId="35" type="noConversion"/>
  </si>
  <si>
    <t>DDI</t>
    <phoneticPr fontId="35" type="noConversion"/>
  </si>
  <si>
    <t>DP_AUX</t>
    <phoneticPr fontId="35" type="noConversion"/>
  </si>
  <si>
    <t>LVDS</t>
    <phoneticPr fontId="35" type="noConversion"/>
  </si>
  <si>
    <t>SATA</t>
    <phoneticPr fontId="35" type="noConversion"/>
  </si>
  <si>
    <t>LPC</t>
    <phoneticPr fontId="35" type="noConversion"/>
  </si>
  <si>
    <t>SMbus</t>
    <phoneticPr fontId="35" type="noConversion"/>
  </si>
  <si>
    <t>VGA</t>
    <phoneticPr fontId="35" type="noConversion"/>
  </si>
  <si>
    <t>PCIe</t>
    <phoneticPr fontId="35" type="noConversion"/>
  </si>
  <si>
    <t>USB2.0</t>
    <phoneticPr fontId="35" type="noConversion"/>
  </si>
  <si>
    <t>LAN</t>
    <phoneticPr fontId="35" type="noConversion"/>
  </si>
  <si>
    <t xml:space="preserve"> </t>
    <phoneticPr fontId="35" type="noConversion"/>
  </si>
  <si>
    <t>Revision</t>
    <phoneticPr fontId="35" type="noConversion"/>
  </si>
  <si>
    <t>Date</t>
    <phoneticPr fontId="35" type="noConversion"/>
  </si>
  <si>
    <t>Description</t>
    <phoneticPr fontId="35" type="noConversion"/>
  </si>
  <si>
    <t>LVDS_A0+</t>
    <phoneticPr fontId="45" type="noConversion"/>
  </si>
  <si>
    <t>LVDS_A0-</t>
    <phoneticPr fontId="45" type="noConversion"/>
  </si>
  <si>
    <t>LVDS_A1+</t>
    <phoneticPr fontId="45" type="noConversion"/>
  </si>
  <si>
    <t>LVDS_A1-</t>
    <phoneticPr fontId="45" type="noConversion"/>
  </si>
  <si>
    <t>LVDS_A2+</t>
    <phoneticPr fontId="45" type="noConversion"/>
  </si>
  <si>
    <t>LVDS_A2-</t>
    <phoneticPr fontId="45" type="noConversion"/>
  </si>
  <si>
    <t>LVDS_A3+</t>
    <phoneticPr fontId="45" type="noConversion"/>
  </si>
  <si>
    <t>LVDS_A3-</t>
    <phoneticPr fontId="45" type="noConversion"/>
  </si>
  <si>
    <t>LVDS_A_CLK+</t>
    <phoneticPr fontId="45" type="noConversion"/>
  </si>
  <si>
    <t>LVDS_A_CLK-</t>
    <phoneticPr fontId="45" type="noConversion"/>
  </si>
  <si>
    <t>LVDS_B0+</t>
    <phoneticPr fontId="45" type="noConversion"/>
  </si>
  <si>
    <t>LVDS_B0-</t>
    <phoneticPr fontId="45" type="noConversion"/>
  </si>
  <si>
    <t>LVDS_B1+</t>
    <phoneticPr fontId="45" type="noConversion"/>
  </si>
  <si>
    <t>LVDS_B1-</t>
    <phoneticPr fontId="45" type="noConversion"/>
  </si>
  <si>
    <t>LVDS_B2+</t>
    <phoneticPr fontId="45" type="noConversion"/>
  </si>
  <si>
    <t>LVDS_B2-</t>
    <phoneticPr fontId="45" type="noConversion"/>
  </si>
  <si>
    <t>LVDS_B3+</t>
    <phoneticPr fontId="45" type="noConversion"/>
  </si>
  <si>
    <t>LVDS_B3-</t>
    <phoneticPr fontId="45" type="noConversion"/>
  </si>
  <si>
    <t>LVDS_B_CLK+</t>
    <phoneticPr fontId="45" type="noConversion"/>
  </si>
  <si>
    <t>LVDS_B_CLK-</t>
    <phoneticPr fontId="45" type="noConversion"/>
  </si>
  <si>
    <t>LVDS_I2C_CLK</t>
    <phoneticPr fontId="45" type="noConversion"/>
  </si>
  <si>
    <t>LVDS_I2C_DAT</t>
    <phoneticPr fontId="45" type="noConversion"/>
  </si>
  <si>
    <t>NA</t>
    <phoneticPr fontId="45" type="noConversion"/>
  </si>
  <si>
    <t>eDP Design Guidelines</t>
    <phoneticPr fontId="35" type="noConversion"/>
  </si>
  <si>
    <t>eDP_TX0+</t>
    <phoneticPr fontId="45" type="noConversion"/>
  </si>
  <si>
    <t>eDP_TX0-</t>
    <phoneticPr fontId="45" type="noConversion"/>
  </si>
  <si>
    <t>eDP_TX1+</t>
    <phoneticPr fontId="45" type="noConversion"/>
  </si>
  <si>
    <t>eDP_TX1-</t>
    <phoneticPr fontId="45" type="noConversion"/>
  </si>
  <si>
    <t>eDP_TX3+</t>
    <phoneticPr fontId="45" type="noConversion"/>
  </si>
  <si>
    <t>eDP_AUX+</t>
    <phoneticPr fontId="45" type="noConversion"/>
  </si>
  <si>
    <t>eDP_AUX-</t>
    <phoneticPr fontId="45" type="noConversion"/>
  </si>
  <si>
    <t>eDP_TX2+</t>
    <phoneticPr fontId="45" type="noConversion"/>
  </si>
  <si>
    <t>eDP_TX2-</t>
    <phoneticPr fontId="45" type="noConversion"/>
  </si>
  <si>
    <t>eDP_TX3-</t>
    <phoneticPr fontId="45" type="noConversion"/>
  </si>
  <si>
    <t>Zdiff=85ohm</t>
    <phoneticPr fontId="45" type="noConversion"/>
  </si>
  <si>
    <t>Difference signal is +/-2mil</t>
    <phoneticPr fontId="45" type="noConversion"/>
  </si>
  <si>
    <r>
      <t xml:space="preserve">DDI </t>
    </r>
    <r>
      <rPr>
        <shadow/>
        <sz val="24"/>
        <color indexed="10"/>
        <rFont val="新細明體"/>
        <family val="1"/>
        <charset val="136"/>
        <scheme val="minor"/>
      </rPr>
      <t>Design Guidelines</t>
    </r>
    <phoneticPr fontId="45" type="noConversion"/>
  </si>
  <si>
    <t>Zdiff=100ohm</t>
    <phoneticPr fontId="45" type="noConversion"/>
  </si>
  <si>
    <t>Difference signal is +/-2mil,
Total is +/-1000mil</t>
    <phoneticPr fontId="35" type="noConversion"/>
  </si>
  <si>
    <t>HDA_SDI0</t>
    <phoneticPr fontId="35" type="noConversion"/>
  </si>
  <si>
    <t>HDA_SDI1</t>
    <phoneticPr fontId="35" type="noConversion"/>
  </si>
  <si>
    <t>Space with other signals (mil)</t>
    <phoneticPr fontId="45" type="noConversion"/>
  </si>
  <si>
    <t>Space(mil)</t>
    <phoneticPr fontId="45" type="noConversion"/>
  </si>
  <si>
    <t>Space with 
other signals(mil)</t>
    <phoneticPr fontId="45" type="noConversion"/>
  </si>
  <si>
    <t>Space(mil)</t>
    <phoneticPr fontId="45" type="noConversion"/>
  </si>
  <si>
    <t>V 1.0</t>
    <phoneticPr fontId="35" type="noConversion"/>
  </si>
  <si>
    <t>Zdiff=85ohm</t>
    <phoneticPr fontId="45" type="noConversion"/>
  </si>
  <si>
    <t>Zdiff=85ohm</t>
    <phoneticPr fontId="35" type="noConversion"/>
  </si>
  <si>
    <t>DDI2_PAIR0-</t>
  </si>
  <si>
    <t>DDI2_PAIR0+</t>
  </si>
  <si>
    <t>DDI2_PAIR1-</t>
  </si>
  <si>
    <t>DDI2_PAIR1+</t>
  </si>
  <si>
    <t>DDI2_PAIR2-</t>
  </si>
  <si>
    <t>DDI2_PAIR2+</t>
  </si>
  <si>
    <t>DDI2_PAIR3-</t>
  </si>
  <si>
    <t>DDI2_PAIR3+</t>
  </si>
  <si>
    <t>EDP_TXP0 +
RN_EDP_TXP0 +
LVDS_A2+/EDP_TX0+</t>
  </si>
  <si>
    <t>EDP_TXN0 +
RN_EDP_TXN0 +
LVDS_A2-/EDP_TX0-</t>
  </si>
  <si>
    <t>EDP_TXP1 +
RN_EDP_TXP1 +
LVDS_A1+/EDP_TX1+</t>
  </si>
  <si>
    <t>EDP_TXN1 +
RN_EDP_TXN1 +
LVDS_A1-/EDP_TX1-</t>
  </si>
  <si>
    <t>EDP_TXP2 +
LVDS_A0+/EDP_TX2+</t>
  </si>
  <si>
    <t>EDP_TXN2 +
LVDS_A0-/EDP_TX2-</t>
  </si>
  <si>
    <t>EDP_TXP3 +
LVDS_A_CK+/EDP_TX3+</t>
  </si>
  <si>
    <t>EDP_TXN3 +
LVDS_A_CK-/EDP_TX3-</t>
  </si>
  <si>
    <t>EDP_AUXP +
LVDS_I2C_CK/EDP_AUX+</t>
  </si>
  <si>
    <t>EDP_AUXN +
LVDS_I2C_DAT/EDP_AUX-</t>
  </si>
  <si>
    <t>Difference signal is +/-2mil,
Total is +/-250mil</t>
  </si>
  <si>
    <t>Difference signal is +/-2mil,
Total is +/-250mil</t>
    <phoneticPr fontId="45" type="noConversion"/>
  </si>
  <si>
    <t xml:space="preserve">LVDS_DATA0_P +
LVDS_A0+/EDP_TX2+ </t>
  </si>
  <si>
    <t xml:space="preserve">LVDS_DATA0_N +
LVDS_A0-/EDP_TX2- </t>
  </si>
  <si>
    <t>LVDS_DATA1_P +
LVDS_A1+/EDP_TX1+</t>
  </si>
  <si>
    <t>LVDS_DATA1_N +
LVDS_A1-/EDP_TX1-</t>
  </si>
  <si>
    <t>LVDS_DATA2_P +
LVDS_A2+/EDP_TX0+</t>
  </si>
  <si>
    <t>LVDS_DATA2_N +
LVDS_A2-/EDP_TX0-</t>
  </si>
  <si>
    <t>LVDS_A3+</t>
  </si>
  <si>
    <t>LVDS_A3-</t>
  </si>
  <si>
    <t>LVDS_CLK1_P +
LVDS_A_CK+/EDP_TX3+</t>
  </si>
  <si>
    <t>LVDS_CLK1_N +
LVDS_A_CK-/EDP_TX3-</t>
  </si>
  <si>
    <t>LVDS_B0+</t>
  </si>
  <si>
    <t>LVDS_B0-</t>
  </si>
  <si>
    <t>LVDS_B1+</t>
  </si>
  <si>
    <t>LVDS_B1-</t>
  </si>
  <si>
    <t>LVDS_B2+</t>
  </si>
  <si>
    <t>LVDS_B2-</t>
  </si>
  <si>
    <t>LVDS_B3+</t>
  </si>
  <si>
    <t>LVDS_B3-</t>
  </si>
  <si>
    <t>LVDS_B_CK+</t>
  </si>
  <si>
    <t>LVDS_B_CK-</t>
  </si>
  <si>
    <t>LVDS_DDC_CLK +
LVDS_I2C_CK/EDP_AUX+</t>
  </si>
  <si>
    <t>LVDS_DDC_DATA +
LVDS_I2C_DAT/EDP_AUX-</t>
  </si>
  <si>
    <t>VGA_RED</t>
  </si>
  <si>
    <t>VGA_GRN</t>
  </si>
  <si>
    <t>VGA_BLU</t>
  </si>
  <si>
    <t>VGA_HSYNC</t>
  </si>
  <si>
    <t>VGA_VSYNC</t>
  </si>
  <si>
    <t>VGA_I2C_DAT</t>
  </si>
  <si>
    <t>VGA_I2C_CK</t>
  </si>
  <si>
    <t>SATA0_RX+</t>
  </si>
  <si>
    <t>SATA0_TX-</t>
  </si>
  <si>
    <t>SATA0_TX+</t>
  </si>
  <si>
    <t>SATA1_RX-</t>
  </si>
  <si>
    <t>SATA1_RX+</t>
  </si>
  <si>
    <t>SATA1_TX-</t>
  </si>
  <si>
    <t>SATA1_TX+</t>
  </si>
  <si>
    <t>SATA0_RX-</t>
    <phoneticPr fontId="35" type="noConversion"/>
  </si>
  <si>
    <t>PCIE_RX0-</t>
  </si>
  <si>
    <t>PCIE_RX0+</t>
  </si>
  <si>
    <t>PCIE_TX0-</t>
  </si>
  <si>
    <t>PCIE_TX0+</t>
  </si>
  <si>
    <t>PCIE_RX1-</t>
  </si>
  <si>
    <t>PCIE_RX1+</t>
  </si>
  <si>
    <t>PCIE_TX1-</t>
  </si>
  <si>
    <t>PCIE_TX1+</t>
  </si>
  <si>
    <t>PCIE_RX2-</t>
  </si>
  <si>
    <t>PCIE_RX2+</t>
  </si>
  <si>
    <t>PCIE_TX2-</t>
  </si>
  <si>
    <t>PCIE_TX2+</t>
  </si>
  <si>
    <t>PCIE_RX3-</t>
  </si>
  <si>
    <t>PCIE_RX3+</t>
  </si>
  <si>
    <t>PCIE_TX3-</t>
  </si>
  <si>
    <t>PCIE_TX3+</t>
  </si>
  <si>
    <t>PCIE_RX4-</t>
  </si>
  <si>
    <t>PCIE_RX4+</t>
  </si>
  <si>
    <t>PCIE_TX4-</t>
  </si>
  <si>
    <t>PCIE_TX4+</t>
  </si>
  <si>
    <t>PCIE_RX5-</t>
  </si>
  <si>
    <t>PCIE_RX5+</t>
  </si>
  <si>
    <t>PCIE_TX5-</t>
  </si>
  <si>
    <t>PCIE_TX5+</t>
  </si>
  <si>
    <t>PCIE_RX6-</t>
  </si>
  <si>
    <t>PCIE_RX6+</t>
  </si>
  <si>
    <t>PCIE_TX6-</t>
  </si>
  <si>
    <t>PCIE_TX6+</t>
  </si>
  <si>
    <t>USB_SSRX0+</t>
  </si>
  <si>
    <t>USB_SSTX0-</t>
  </si>
  <si>
    <t>USB_SSTX0+</t>
  </si>
  <si>
    <t>USB_SSRX1-</t>
  </si>
  <si>
    <t>USB_SSRX1+</t>
  </si>
  <si>
    <t>USB_SSTX1-</t>
  </si>
  <si>
    <t>USB_SSTX1+</t>
  </si>
  <si>
    <t>USB_SSRX2-</t>
  </si>
  <si>
    <t>USB_SSRX2+</t>
  </si>
  <si>
    <t>USB_SSTX2-</t>
  </si>
  <si>
    <t>USB_SSTX2+</t>
  </si>
  <si>
    <t>USB_SSRX3-</t>
  </si>
  <si>
    <t>USB_SSRX3+</t>
  </si>
  <si>
    <t>USB_SSTX3-</t>
  </si>
  <si>
    <t>USB_SSTX3+</t>
  </si>
  <si>
    <t>USB_SSRX0-</t>
    <phoneticPr fontId="35" type="noConversion"/>
  </si>
  <si>
    <t>USB0-</t>
  </si>
  <si>
    <t>USB0+</t>
  </si>
  <si>
    <t>USB1-</t>
  </si>
  <si>
    <t>USB1+</t>
  </si>
  <si>
    <t>USB2-</t>
  </si>
  <si>
    <t>USB2+</t>
  </si>
  <si>
    <t>USB3-</t>
  </si>
  <si>
    <t>USB3+</t>
  </si>
  <si>
    <t>USB4-</t>
  </si>
  <si>
    <t>USB4+</t>
  </si>
  <si>
    <t>USB5-</t>
  </si>
  <si>
    <t>USB5+</t>
  </si>
  <si>
    <t>USB6-</t>
  </si>
  <si>
    <t>USB6+</t>
  </si>
  <si>
    <t>USB7-</t>
  </si>
  <si>
    <t>USB7+</t>
  </si>
  <si>
    <t>GBE0_MDI0-</t>
  </si>
  <si>
    <t>GBE0_MDI1+</t>
  </si>
  <si>
    <t>GBE0_MDI1-</t>
  </si>
  <si>
    <t>GBE0_MDI2+</t>
  </si>
  <si>
    <t>GBE0_MDI2-</t>
  </si>
  <si>
    <t>GBE0_MDI3+</t>
  </si>
  <si>
    <t>GBE0_MDI3-</t>
  </si>
  <si>
    <t>NA</t>
    <phoneticPr fontId="35" type="noConversion"/>
  </si>
  <si>
    <t>HDA_SDOUT</t>
    <phoneticPr fontId="35" type="noConversion"/>
  </si>
  <si>
    <t>HDA_BITCLK</t>
    <phoneticPr fontId="35" type="noConversion"/>
  </si>
  <si>
    <t>HDA_SYNC</t>
    <phoneticPr fontId="35" type="noConversion"/>
  </si>
  <si>
    <t>HDA_RST#</t>
    <phoneticPr fontId="35" type="noConversion"/>
  </si>
  <si>
    <t>SMB_CLK_A</t>
    <phoneticPr fontId="35" type="noConversion"/>
  </si>
  <si>
    <t>SMB_DATA_A</t>
    <phoneticPr fontId="35" type="noConversion"/>
  </si>
  <si>
    <t>NA</t>
    <phoneticPr fontId="45" type="noConversion"/>
  </si>
  <si>
    <t>GBE0_MDI0+</t>
    <phoneticPr fontId="35" type="noConversion"/>
  </si>
  <si>
    <t>Zdiff=80ohm</t>
    <phoneticPr fontId="35" type="noConversion"/>
  </si>
  <si>
    <t>eSPI</t>
    <phoneticPr fontId="35" type="noConversion"/>
  </si>
  <si>
    <t>DDP1_SDA+DDI1_CTRLDATA_AUX-</t>
    <phoneticPr fontId="45" type="noConversion"/>
  </si>
  <si>
    <t>DDP1_SCL+DDI1_CTRLCLK_AUX+</t>
    <phoneticPr fontId="45" type="noConversion"/>
  </si>
  <si>
    <t>DDI1_AUXN+DDI1_CTRLDATA_AUX-</t>
    <phoneticPr fontId="45" type="noConversion"/>
  </si>
  <si>
    <t>DDI1_AUXP+DDI1_CTRLCLK_AUX+</t>
    <phoneticPr fontId="45" type="noConversion"/>
  </si>
  <si>
    <t>DDP2_SDA+DDI2_CTRLDATA_AUX-</t>
    <phoneticPr fontId="45" type="noConversion"/>
  </si>
  <si>
    <t>DDP2_SCL+DDI2_CTRLCLK_AUX+</t>
    <phoneticPr fontId="45" type="noConversion"/>
  </si>
  <si>
    <t>DDI2_AUXN+DDI2_CTRLDATA_AUX-</t>
    <phoneticPr fontId="45" type="noConversion"/>
  </si>
  <si>
    <t>DDI2_AUXP+DDI2_CTRLCLK_AUX+</t>
    <phoneticPr fontId="45" type="noConversion"/>
  </si>
  <si>
    <t>DDP3_SDA+DDI3_CTRLDATA_AUX-</t>
    <phoneticPr fontId="45" type="noConversion"/>
  </si>
  <si>
    <t>DDP3_SCL+DDI3_CTRLCLK_AUX+</t>
    <phoneticPr fontId="45" type="noConversion"/>
  </si>
  <si>
    <t>DDI3_AUXN+DDI3_CTRLDATA_AUX-</t>
    <phoneticPr fontId="45" type="noConversion"/>
  </si>
  <si>
    <t>DDI3_AUXP+DDI3_CTRLCLK_AUX+</t>
    <phoneticPr fontId="45" type="noConversion"/>
  </si>
  <si>
    <t>PCIE_TX0-</t>
    <phoneticPr fontId="35" type="noConversion"/>
  </si>
  <si>
    <t>+/-150mil</t>
    <phoneticPr fontId="35" type="noConversion"/>
  </si>
  <si>
    <t>Space(mils)</t>
    <phoneticPr fontId="45" type="noConversion"/>
  </si>
  <si>
    <t>Space with 
other signals
(mils)</t>
    <phoneticPr fontId="45" type="noConversion"/>
  </si>
  <si>
    <t>LPC_CLK/ESPI_CK</t>
    <phoneticPr fontId="45" type="noConversion"/>
  </si>
  <si>
    <t>LPC_AD3/ESPI_IO_3</t>
    <phoneticPr fontId="45" type="noConversion"/>
  </si>
  <si>
    <t>LPC_AD2/ESPI_IO_2</t>
    <phoneticPr fontId="45" type="noConversion"/>
  </si>
  <si>
    <t>LPC_AD1/ESPI_IO_1</t>
    <phoneticPr fontId="45" type="noConversion"/>
  </si>
  <si>
    <t>LPC_AD0/ESPI_IO_0</t>
    <phoneticPr fontId="45" type="noConversion"/>
  </si>
  <si>
    <t>LPC_FRAME#/ESPI_CS0#</t>
    <phoneticPr fontId="45" type="noConversion"/>
  </si>
  <si>
    <t>LPC_DRQ0#/ESPI_ALERT0#</t>
    <phoneticPr fontId="45" type="noConversion"/>
  </si>
  <si>
    <t>LPC_SERIRQ/ESPI_CS1#</t>
    <phoneticPr fontId="45" type="noConversion"/>
  </si>
  <si>
    <t>SUS_STAT#/ESPI_RESET#</t>
    <phoneticPr fontId="45" type="noConversion"/>
  </si>
  <si>
    <t>eSPI Design Guidelines</t>
    <phoneticPr fontId="35" type="noConversion"/>
  </si>
  <si>
    <t>ESPI_ALERT2#</t>
    <phoneticPr fontId="45" type="noConversion"/>
  </si>
  <si>
    <t>ESPI_RST#</t>
    <phoneticPr fontId="45" type="noConversion"/>
  </si>
  <si>
    <t>ESM-RPL
Signal Name</t>
    <phoneticPr fontId="35" type="noConversion"/>
  </si>
  <si>
    <t>ESM-RPL
Trace Length</t>
    <phoneticPr fontId="35" type="noConversion"/>
  </si>
  <si>
    <t>PCIE_X8_RX0+</t>
    <phoneticPr fontId="45" type="noConversion"/>
  </si>
  <si>
    <t>PCIE_X8_RX0-</t>
    <phoneticPr fontId="45" type="noConversion"/>
  </si>
  <si>
    <t>PCIE_X8_RX1+</t>
    <phoneticPr fontId="45" type="noConversion"/>
  </si>
  <si>
    <t>PCIE_X8_RX1-</t>
    <phoneticPr fontId="45" type="noConversion"/>
  </si>
  <si>
    <t>PCIE_X8_RX2+</t>
    <phoneticPr fontId="45" type="noConversion"/>
  </si>
  <si>
    <t>PCIE_X8_RX2-</t>
    <phoneticPr fontId="45" type="noConversion"/>
  </si>
  <si>
    <t>PCIE_X8_RX3+</t>
    <phoneticPr fontId="45" type="noConversion"/>
  </si>
  <si>
    <t>PCIE_X8_RX3-</t>
    <phoneticPr fontId="45" type="noConversion"/>
  </si>
  <si>
    <t>PCIE_X8_RX4+</t>
    <phoneticPr fontId="45" type="noConversion"/>
  </si>
  <si>
    <t>PCIE_X8_RX4-</t>
    <phoneticPr fontId="45" type="noConversion"/>
  </si>
  <si>
    <t>PCIE_X8_RX5+</t>
    <phoneticPr fontId="45" type="noConversion"/>
  </si>
  <si>
    <t>PCIE_X8_RX5-</t>
    <phoneticPr fontId="45" type="noConversion"/>
  </si>
  <si>
    <t>PCIE_X8_RX6+</t>
    <phoneticPr fontId="45" type="noConversion"/>
  </si>
  <si>
    <t>PCIE_X8_RX6-</t>
    <phoneticPr fontId="45" type="noConversion"/>
  </si>
  <si>
    <t>PCIE_X8_RX7+</t>
    <phoneticPr fontId="45" type="noConversion"/>
  </si>
  <si>
    <t>PCIE_X8_RX7-</t>
    <phoneticPr fontId="45" type="noConversion"/>
  </si>
  <si>
    <t>PCIEX4_A_RX0+</t>
    <phoneticPr fontId="45" type="noConversion"/>
  </si>
  <si>
    <t>PCIEX4_A_RX0-</t>
    <phoneticPr fontId="45" type="noConversion"/>
  </si>
  <si>
    <t>PCIEX4_A_RX1+</t>
    <phoneticPr fontId="45" type="noConversion"/>
  </si>
  <si>
    <t>PCIEX4_A_RX1-</t>
    <phoneticPr fontId="45" type="noConversion"/>
  </si>
  <si>
    <t>PCIEX4_A_RX2+</t>
    <phoneticPr fontId="45" type="noConversion"/>
  </si>
  <si>
    <t>PCIEX4_A_RX2-</t>
    <phoneticPr fontId="45" type="noConversion"/>
  </si>
  <si>
    <t>PCIEX4_A_RX3+</t>
    <phoneticPr fontId="45" type="noConversion"/>
  </si>
  <si>
    <t>PCIEX4_A_RX3-</t>
    <phoneticPr fontId="45" type="noConversion"/>
  </si>
  <si>
    <t>PCIEX4_B_RX0+</t>
    <phoneticPr fontId="45" type="noConversion"/>
  </si>
  <si>
    <t>PCIEX4_B_RX0-</t>
    <phoneticPr fontId="45" type="noConversion"/>
  </si>
  <si>
    <t>PCIEX4_B_RX1+</t>
    <phoneticPr fontId="45" type="noConversion"/>
  </si>
  <si>
    <t>PCIEX4_B_RX1-</t>
    <phoneticPr fontId="45" type="noConversion"/>
  </si>
  <si>
    <t>PCIEX4_B_RX2+</t>
    <phoneticPr fontId="45" type="noConversion"/>
  </si>
  <si>
    <t>PCIEX4_B_RX2-</t>
    <phoneticPr fontId="45" type="noConversion"/>
  </si>
  <si>
    <t>PCIEX4_B_RX3+</t>
    <phoneticPr fontId="45" type="noConversion"/>
  </si>
  <si>
    <t>PCIEX4_B_RX3-</t>
    <phoneticPr fontId="45" type="noConversion"/>
  </si>
  <si>
    <t>PCIE_X8_TX0+</t>
    <phoneticPr fontId="45" type="noConversion"/>
  </si>
  <si>
    <t>PCIE_X8_TX0-</t>
    <phoneticPr fontId="45" type="noConversion"/>
  </si>
  <si>
    <t>PCIE_X8_TX1+</t>
    <phoneticPr fontId="45" type="noConversion"/>
  </si>
  <si>
    <t>PCIE_X8_TX1-</t>
    <phoneticPr fontId="45" type="noConversion"/>
  </si>
  <si>
    <t>PCIE_X8_TX2+</t>
    <phoneticPr fontId="45" type="noConversion"/>
  </si>
  <si>
    <t>PCIE_X8_TX2-</t>
    <phoneticPr fontId="45" type="noConversion"/>
  </si>
  <si>
    <t>PCIE_X8_TX3+</t>
    <phoneticPr fontId="45" type="noConversion"/>
  </si>
  <si>
    <t>PCIE_X8_TX3-</t>
    <phoneticPr fontId="45" type="noConversion"/>
  </si>
  <si>
    <t>PCIE_X8_TX4+</t>
    <phoneticPr fontId="45" type="noConversion"/>
  </si>
  <si>
    <t>PCIE_X8_TX4-</t>
    <phoneticPr fontId="45" type="noConversion"/>
  </si>
  <si>
    <t>PCIE_X8_TX5+</t>
    <phoneticPr fontId="45" type="noConversion"/>
  </si>
  <si>
    <t>PCIE_X8_TX5-</t>
    <phoneticPr fontId="45" type="noConversion"/>
  </si>
  <si>
    <t>PCIE_X8_TX6+</t>
    <phoneticPr fontId="45" type="noConversion"/>
  </si>
  <si>
    <t>PCIE_X8_TX6-</t>
    <phoneticPr fontId="45" type="noConversion"/>
  </si>
  <si>
    <t>PCIE_X8_TX7+</t>
    <phoneticPr fontId="45" type="noConversion"/>
  </si>
  <si>
    <t>PCIE_X8_TX7-</t>
    <phoneticPr fontId="45" type="noConversion"/>
  </si>
  <si>
    <t>PCIEX4_A_TX0+</t>
    <phoneticPr fontId="45" type="noConversion"/>
  </si>
  <si>
    <t>PCIEX4_A_TX0-</t>
    <phoneticPr fontId="45" type="noConversion"/>
  </si>
  <si>
    <t>PCIEX4_A_TX1+</t>
    <phoneticPr fontId="45" type="noConversion"/>
  </si>
  <si>
    <t>PCIEX4_A_TX1-</t>
    <phoneticPr fontId="45" type="noConversion"/>
  </si>
  <si>
    <t>PCIEX4_A_TX2+</t>
    <phoneticPr fontId="45" type="noConversion"/>
  </si>
  <si>
    <t>PCIEX4_A_TX2-</t>
    <phoneticPr fontId="45" type="noConversion"/>
  </si>
  <si>
    <t>PCIEX4_A_TX3+</t>
    <phoneticPr fontId="45" type="noConversion"/>
  </si>
  <si>
    <t>PCIEX4_A_TX3-</t>
    <phoneticPr fontId="45" type="noConversion"/>
  </si>
  <si>
    <t>PEG_TX12</t>
    <phoneticPr fontId="45" type="noConversion"/>
  </si>
  <si>
    <t>PCIEX4_B_TX0+</t>
    <phoneticPr fontId="45" type="noConversion"/>
  </si>
  <si>
    <t>PCIEX4_B_TX0-</t>
    <phoneticPr fontId="45" type="noConversion"/>
  </si>
  <si>
    <t>PCIEX4_B_TX1+</t>
    <phoneticPr fontId="45" type="noConversion"/>
  </si>
  <si>
    <t>PCIEX4_B_TX1-</t>
    <phoneticPr fontId="45" type="noConversion"/>
  </si>
  <si>
    <t>PCIEX4_B_TX2+</t>
    <phoneticPr fontId="45" type="noConversion"/>
  </si>
  <si>
    <t>PCIEX4_B_TX2-</t>
    <phoneticPr fontId="45" type="noConversion"/>
  </si>
  <si>
    <t>PCIEX4_B_TX3+</t>
    <phoneticPr fontId="45" type="noConversion"/>
  </si>
  <si>
    <t>PCIEX4_B_TX3-</t>
    <phoneticPr fontId="45" type="noConversion"/>
  </si>
  <si>
    <t>DDI1_PAIR0+/USB4_1_SSTX0+</t>
    <phoneticPr fontId="45" type="noConversion"/>
  </si>
  <si>
    <t>DDI1_PAIR0-/USB4_1_SSTX0-</t>
    <phoneticPr fontId="45" type="noConversion"/>
  </si>
  <si>
    <t>DDI1_PAIR1+/USB4_1_SSRX0+</t>
    <phoneticPr fontId="45" type="noConversion"/>
  </si>
  <si>
    <t>DDI1_PAIR1-/USB4_1_SSRX0-</t>
    <phoneticPr fontId="45" type="noConversion"/>
  </si>
  <si>
    <t>DDI1_PAIR2+/USB4_1_SSTX1+</t>
    <phoneticPr fontId="45" type="noConversion"/>
  </si>
  <si>
    <t>DDI1_PAIR2-/USB4_1_SSTX1-</t>
    <phoneticPr fontId="45" type="noConversion"/>
  </si>
  <si>
    <t>DDI1_PAIR3+/USB4_1_SSRX1+</t>
    <phoneticPr fontId="45" type="noConversion"/>
  </si>
  <si>
    <t>DDI1_PAIR3-/USB4_1_SSRX1-</t>
    <phoneticPr fontId="45" type="noConversion"/>
  </si>
  <si>
    <t>DDI1_CTRLCLK_AUX+/USB4_1_AUX+</t>
    <phoneticPr fontId="45" type="noConversion"/>
  </si>
  <si>
    <t>DDI1_CTRLDATA_AUX-/USB4_1_AUX-</t>
    <phoneticPr fontId="45" type="noConversion"/>
  </si>
  <si>
    <t>DDI2_PAIR0-/USB4_2_SSTX0-</t>
    <phoneticPr fontId="45" type="noConversion"/>
  </si>
  <si>
    <t>DDI2_PAIR0+/USB4_2_SSTX0+</t>
    <phoneticPr fontId="45" type="noConversion"/>
  </si>
  <si>
    <t>DDI2_PAIR1-/USB4_2_SSRX0-</t>
    <phoneticPr fontId="45" type="noConversion"/>
  </si>
  <si>
    <t>DDI2_PAIR1+/USB4_2_SSRX0+</t>
    <phoneticPr fontId="45" type="noConversion"/>
  </si>
  <si>
    <t>DDI2_PAIR2-/USB4_2_SSTX1-</t>
    <phoneticPr fontId="45" type="noConversion"/>
  </si>
  <si>
    <t>DDI2_PAIR2+/USB4_2_SSTX1+</t>
    <phoneticPr fontId="45" type="noConversion"/>
  </si>
  <si>
    <t>DDI2_PAIR3-/USB4_2_SSRX1-</t>
    <phoneticPr fontId="45" type="noConversion"/>
  </si>
  <si>
    <t>DDI2_PAIR3+/USB4_2_SSRX1+</t>
    <phoneticPr fontId="45" type="noConversion"/>
  </si>
  <si>
    <t>DDI2_CTRLDATA_AUX-/USB4_2_AUX-</t>
    <phoneticPr fontId="45" type="noConversion"/>
  </si>
  <si>
    <t>DDI2_CTRLCLK_AUX+/USB4_2_AUX+</t>
    <phoneticPr fontId="45" type="noConversion"/>
  </si>
  <si>
    <t>+/-50mil</t>
    <phoneticPr fontId="45" type="noConversion"/>
  </si>
  <si>
    <t>USB 3.2 Gen2</t>
    <phoneticPr fontId="35" type="noConversion"/>
  </si>
  <si>
    <t>+/-100mil</t>
    <phoneticPr fontId="35" type="noConversion"/>
  </si>
  <si>
    <t>ESM-RPL
Signal Name</t>
    <phoneticPr fontId="45" type="noConversion"/>
  </si>
  <si>
    <t>ESM-RPL
Trace Length(mil)</t>
    <phoneticPr fontId="35" type="noConversion"/>
  </si>
  <si>
    <t>SPI Design Guidelines</t>
    <phoneticPr fontId="35" type="noConversion"/>
  </si>
  <si>
    <t>Space(mil)</t>
    <phoneticPr fontId="35" type="noConversion"/>
  </si>
  <si>
    <t>SPI_CLK</t>
    <phoneticPr fontId="35" type="noConversion"/>
  </si>
  <si>
    <t>SPI_CS#</t>
    <phoneticPr fontId="35" type="noConversion"/>
  </si>
  <si>
    <t>SPI_MOSI</t>
    <phoneticPr fontId="35" type="noConversion"/>
  </si>
  <si>
    <t>SPI_MISO</t>
    <phoneticPr fontId="35" type="noConversion"/>
  </si>
  <si>
    <t>GP_SPI_CK</t>
    <phoneticPr fontId="35" type="noConversion"/>
  </si>
  <si>
    <t>GSPI1_CLK</t>
    <phoneticPr fontId="35" type="noConversion"/>
  </si>
  <si>
    <t>GP_SPI_CS#</t>
    <phoneticPr fontId="35" type="noConversion"/>
  </si>
  <si>
    <t>GSPI1_CS0#</t>
    <phoneticPr fontId="35" type="noConversion"/>
  </si>
  <si>
    <t>GP_SPI_MISO</t>
    <phoneticPr fontId="35" type="noConversion"/>
  </si>
  <si>
    <t>GSPI1_MISO</t>
    <phoneticPr fontId="35" type="noConversion"/>
  </si>
  <si>
    <t>GP_SPI_MOSI</t>
    <phoneticPr fontId="35" type="noConversion"/>
  </si>
  <si>
    <t>GSPI1_MOSI</t>
    <phoneticPr fontId="35" type="noConversion"/>
  </si>
  <si>
    <t>PCIE_CLK_REF+</t>
    <phoneticPr fontId="35" type="noConversion"/>
  </si>
  <si>
    <t>PCIE_CLK_REF-</t>
    <phoneticPr fontId="35" type="noConversion"/>
  </si>
  <si>
    <t>PCIE_CLK_REF_P</t>
    <phoneticPr fontId="35" type="noConversion"/>
  </si>
  <si>
    <t>PCIE_CLK_REF_N</t>
    <phoneticPr fontId="35" type="noConversion"/>
  </si>
  <si>
    <t>+/-5mil</t>
    <phoneticPr fontId="35" type="noConversion"/>
  </si>
  <si>
    <t>Zo=85ohm</t>
    <phoneticPr fontId="35" type="noConversion"/>
  </si>
  <si>
    <t>USB4_1_LSRX</t>
    <phoneticPr fontId="35" type="noConversion"/>
  </si>
  <si>
    <t>USB4_1_LSTX</t>
    <phoneticPr fontId="35" type="noConversion"/>
  </si>
  <si>
    <t>LSX0_RXD</t>
    <phoneticPr fontId="35" type="noConversion"/>
  </si>
  <si>
    <t>LSX0_TXD</t>
    <phoneticPr fontId="35" type="noConversion"/>
  </si>
  <si>
    <t>+/-500mil</t>
    <phoneticPr fontId="35" type="noConversion"/>
  </si>
  <si>
    <t>USB4_2_LSRX</t>
    <phoneticPr fontId="35" type="noConversion"/>
  </si>
  <si>
    <t>USB4_2_LSTX</t>
    <phoneticPr fontId="35" type="noConversion"/>
  </si>
  <si>
    <t>LSX1_RXD</t>
    <phoneticPr fontId="35" type="noConversion"/>
  </si>
  <si>
    <t>LSX1_TXD</t>
    <phoneticPr fontId="35" type="noConversion"/>
  </si>
  <si>
    <t>SPI</t>
    <phoneticPr fontId="35" type="noConversion"/>
  </si>
  <si>
    <t>GSPI</t>
    <phoneticPr fontId="35" type="noConversion"/>
  </si>
  <si>
    <t>USB3.2</t>
    <phoneticPr fontId="35" type="noConversion"/>
  </si>
  <si>
    <t>eDP</t>
    <phoneticPr fontId="35" type="noConversion"/>
  </si>
  <si>
    <t>ESM-RPL A1</t>
    <phoneticPr fontId="4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</si>
</sst>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0.000"/>
    <numFmt numFmtId="177" formatCode="0.0000"/>
    <numFmt numFmtId="178" formatCode="0.0"/>
    <numFmt numFmtId="179" formatCode="0_ "/>
    <numFmt numFmtId="180" formatCode="0_);[Red]\(0\)"/>
    <numFmt numFmtId="181" formatCode="0_ ;[Red]\-0\ "/>
    <numFmt numFmtId="182" formatCode="0.00_ "/>
    <numFmt numFmtId="183" formatCode="0.0_ "/>
  </numFmts>
  <fonts count="112" x14ac:knownFonts="1">
    <font>
      <sz val="10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b/>
      <sz val="10"/>
      <color indexed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sz val="20"/>
      <color indexed="9"/>
      <name val="Arial"/>
      <family val="2"/>
    </font>
    <font>
      <sz val="8"/>
      <name val="Arial"/>
      <family val="2"/>
    </font>
    <font>
      <sz val="8"/>
      <color indexed="10"/>
      <name val="Arial"/>
      <family val="2"/>
    </font>
    <font>
      <sz val="10"/>
      <color indexed="10"/>
      <name val="Arial"/>
      <family val="2"/>
    </font>
    <font>
      <sz val="20"/>
      <name val="Arial"/>
      <family val="2"/>
    </font>
    <font>
      <sz val="10"/>
      <color indexed="8"/>
      <name val="Arial"/>
      <family val="2"/>
    </font>
    <font>
      <b/>
      <sz val="14"/>
      <color indexed="9"/>
      <name val="Arial"/>
      <family val="2"/>
    </font>
    <font>
      <sz val="14"/>
      <name val="Arial"/>
      <family val="2"/>
    </font>
    <font>
      <b/>
      <sz val="8"/>
      <color indexed="9"/>
      <name val="Arial"/>
      <family val="2"/>
    </font>
    <font>
      <b/>
      <sz val="10"/>
      <color indexed="14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color indexed="12"/>
      <name val="Arial"/>
      <family val="2"/>
    </font>
    <font>
      <sz val="10"/>
      <color indexed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b/>
      <sz val="16"/>
      <color indexed="10"/>
      <name val="Arial"/>
      <family val="2"/>
    </font>
    <font>
      <b/>
      <sz val="8"/>
      <color indexed="10"/>
      <name val="Arial"/>
      <family val="2"/>
    </font>
    <font>
      <b/>
      <sz val="12"/>
      <color indexed="10"/>
      <name val="Arial"/>
      <family val="2"/>
    </font>
    <font>
      <b/>
      <sz val="14"/>
      <color indexed="10"/>
      <name val="Arial"/>
      <family val="2"/>
    </font>
    <font>
      <sz val="9"/>
      <color indexed="8"/>
      <name val="Arial"/>
      <family val="2"/>
    </font>
    <font>
      <sz val="12"/>
      <name val="新細明體"/>
      <family val="1"/>
      <charset val="136"/>
    </font>
    <font>
      <sz val="9"/>
      <name val="新細明體"/>
      <family val="1"/>
      <charset val="136"/>
    </font>
    <font>
      <sz val="22"/>
      <color indexed="10"/>
      <name val="Times New Roman"/>
      <family val="1"/>
    </font>
    <font>
      <b/>
      <sz val="12"/>
      <color indexed="48"/>
      <name val="新細明體"/>
      <family val="1"/>
      <charset val="136"/>
    </font>
    <font>
      <b/>
      <sz val="12"/>
      <name val="新細明體"/>
      <family val="1"/>
      <charset val="136"/>
    </font>
    <font>
      <b/>
      <sz val="12"/>
      <name val="Times New Roman"/>
      <family val="1"/>
    </font>
    <font>
      <b/>
      <sz val="12"/>
      <name val="細明體"/>
      <family val="3"/>
      <charset val="136"/>
    </font>
    <font>
      <b/>
      <sz val="12"/>
      <color indexed="12"/>
      <name val="新細明體"/>
      <family val="1"/>
      <charset val="136"/>
    </font>
    <font>
      <b/>
      <sz val="12"/>
      <color indexed="10"/>
      <name val="新細明體"/>
      <family val="1"/>
      <charset val="136"/>
    </font>
    <font>
      <b/>
      <sz val="12"/>
      <color indexed="10"/>
      <name val="Times New Roman"/>
      <family val="1"/>
    </font>
    <font>
      <sz val="12"/>
      <color indexed="12"/>
      <name val="新細明體"/>
      <family val="1"/>
      <charset val="136"/>
    </font>
    <font>
      <sz val="9"/>
      <name val="細明體"/>
      <family val="3"/>
      <charset val="136"/>
    </font>
    <font>
      <b/>
      <sz val="12"/>
      <color indexed="18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2"/>
      <color indexed="40"/>
      <name val="新細明體"/>
      <family val="1"/>
      <charset val="136"/>
    </font>
    <font>
      <b/>
      <sz val="12"/>
      <color indexed="49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53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b/>
      <sz val="10"/>
      <name val="新細明體"/>
      <family val="1"/>
      <charset val="136"/>
    </font>
    <font>
      <b/>
      <sz val="10"/>
      <color indexed="8"/>
      <name val="新細明體"/>
      <family val="1"/>
      <charset val="136"/>
    </font>
    <font>
      <b/>
      <sz val="12"/>
      <color indexed="8"/>
      <name val="Times New Roman"/>
      <family val="1"/>
    </font>
    <font>
      <b/>
      <sz val="10"/>
      <color indexed="10"/>
      <name val="新細明體"/>
      <family val="1"/>
      <charset val="136"/>
    </font>
    <font>
      <sz val="11"/>
      <color indexed="8"/>
      <name val="新細明體"/>
      <family val="1"/>
      <charset val="136"/>
    </font>
    <font>
      <sz val="11"/>
      <color indexed="9"/>
      <name val="新細明體"/>
      <family val="1"/>
      <charset val="136"/>
    </font>
    <font>
      <sz val="11"/>
      <color indexed="20"/>
      <name val="新細明體"/>
      <family val="1"/>
      <charset val="136"/>
    </font>
    <font>
      <b/>
      <sz val="11"/>
      <color indexed="52"/>
      <name val="新細明體"/>
      <family val="1"/>
      <charset val="136"/>
    </font>
    <font>
      <b/>
      <sz val="11"/>
      <color indexed="9"/>
      <name val="新細明體"/>
      <family val="1"/>
      <charset val="136"/>
    </font>
    <font>
      <i/>
      <sz val="11"/>
      <color indexed="23"/>
      <name val="新細明體"/>
      <family val="1"/>
      <charset val="136"/>
    </font>
    <font>
      <sz val="11"/>
      <color indexed="17"/>
      <name val="新細明體"/>
      <family val="1"/>
      <charset val="136"/>
    </font>
    <font>
      <sz val="11"/>
      <color indexed="62"/>
      <name val="新細明體"/>
      <family val="1"/>
      <charset val="136"/>
    </font>
    <font>
      <sz val="11"/>
      <color indexed="52"/>
      <name val="新細明體"/>
      <family val="1"/>
      <charset val="136"/>
    </font>
    <font>
      <sz val="11"/>
      <color indexed="60"/>
      <name val="新細明體"/>
      <family val="1"/>
      <charset val="136"/>
    </font>
    <font>
      <b/>
      <sz val="11"/>
      <color indexed="63"/>
      <name val="新細明體"/>
      <family val="1"/>
      <charset val="136"/>
    </font>
    <font>
      <b/>
      <sz val="11"/>
      <color indexed="8"/>
      <name val="新細明體"/>
      <family val="1"/>
      <charset val="136"/>
    </font>
    <font>
      <sz val="11"/>
      <color indexed="10"/>
      <name val="新細明體"/>
      <family val="1"/>
      <charset val="136"/>
    </font>
    <font>
      <b/>
      <sz val="12"/>
      <name val="Arial"/>
      <family val="2"/>
    </font>
    <font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color indexed="8"/>
      <name val="新細明體"/>
      <family val="1"/>
      <charset val="136"/>
      <scheme val="minor"/>
    </font>
    <font>
      <b/>
      <sz val="12"/>
      <color indexed="10"/>
      <name val="新細明體"/>
      <family val="1"/>
      <charset val="136"/>
      <scheme val="minor"/>
    </font>
    <font>
      <sz val="24"/>
      <color indexed="10"/>
      <name val="新細明體"/>
      <family val="1"/>
      <charset val="136"/>
      <scheme val="minor"/>
    </font>
    <font>
      <shadow/>
      <sz val="24"/>
      <color indexed="10"/>
      <name val="新細明體"/>
      <family val="1"/>
      <charset val="136"/>
      <scheme val="minor"/>
    </font>
    <font>
      <sz val="12"/>
      <name val="新細明體"/>
      <family val="1"/>
      <charset val="136"/>
      <scheme val="minor"/>
    </font>
    <font>
      <b/>
      <sz val="12"/>
      <name val="新細明體"/>
      <family val="1"/>
      <charset val="136"/>
      <scheme val="minor"/>
    </font>
    <font>
      <b/>
      <sz val="10"/>
      <name val="新細明體"/>
      <family val="1"/>
      <charset val="136"/>
      <scheme val="minor"/>
    </font>
    <font>
      <b/>
      <sz val="10"/>
      <color indexed="17"/>
      <name val="新細明體"/>
      <family val="1"/>
      <charset val="136"/>
      <scheme val="minor"/>
    </font>
    <font>
      <b/>
      <sz val="12"/>
      <color indexed="12"/>
      <name val="新細明體"/>
      <family val="1"/>
      <charset val="136"/>
      <scheme val="minor"/>
    </font>
    <font>
      <b/>
      <sz val="12"/>
      <color indexed="17"/>
      <name val="新細明體"/>
      <family val="1"/>
      <charset val="136"/>
      <scheme val="minor"/>
    </font>
    <font>
      <sz val="10"/>
      <color indexed="10"/>
      <name val="新細明體"/>
      <family val="1"/>
      <charset val="136"/>
      <scheme val="minor"/>
    </font>
    <font>
      <b/>
      <sz val="10"/>
      <color indexed="8"/>
      <name val="新細明體"/>
      <family val="1"/>
      <charset val="136"/>
      <scheme val="minor"/>
    </font>
    <font>
      <b/>
      <sz val="12"/>
      <color indexed="53"/>
      <name val="新細明體"/>
      <family val="1"/>
      <charset val="136"/>
      <scheme val="minor"/>
    </font>
    <font>
      <sz val="22"/>
      <color indexed="10"/>
      <name val="新細明體"/>
      <family val="1"/>
      <charset val="136"/>
      <scheme val="minor"/>
    </font>
    <font>
      <b/>
      <sz val="12"/>
      <color indexed="48"/>
      <name val="新細明體"/>
      <family val="1"/>
      <charset val="136"/>
      <scheme val="minor"/>
    </font>
    <font>
      <b/>
      <sz val="12"/>
      <color indexed="40"/>
      <name val="新細明體"/>
      <family val="1"/>
      <charset val="136"/>
      <scheme val="minor"/>
    </font>
    <font>
      <b/>
      <sz val="12"/>
      <color indexed="20"/>
      <name val="新細明體"/>
      <family val="1"/>
      <charset val="136"/>
      <scheme val="minor"/>
    </font>
    <font>
      <b/>
      <sz val="22"/>
      <color indexed="10"/>
      <name val="新細明體"/>
      <family val="1"/>
      <charset val="136"/>
      <scheme val="minor"/>
    </font>
    <font>
      <sz val="12"/>
      <color indexed="60"/>
      <name val="新細明體"/>
      <family val="1"/>
      <charset val="136"/>
    </font>
    <font>
      <sz val="12"/>
      <color indexed="8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2"/>
      <color indexed="9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sz val="12"/>
      <color indexed="20"/>
      <name val="新細明體"/>
      <family val="1"/>
      <charset val="136"/>
    </font>
    <font>
      <b/>
      <sz val="12"/>
      <color rgb="FFFF0000"/>
      <name val="新細明體"/>
      <family val="1"/>
      <charset val="136"/>
    </font>
    <font>
      <b/>
      <sz val="12"/>
      <color rgb="FF0070C0"/>
      <name val="新細明體"/>
      <family val="1"/>
      <charset val="136"/>
    </font>
    <font>
      <b/>
      <sz val="10"/>
      <color rgb="FF00B0F0"/>
      <name val="新細明體"/>
      <family val="1"/>
      <charset val="136"/>
    </font>
    <font>
      <b/>
      <sz val="12"/>
      <color rgb="FF00B0F0"/>
      <name val="新細明體"/>
      <family val="1"/>
      <charset val="136"/>
    </font>
    <font>
      <b/>
      <sz val="12"/>
      <color rgb="FF00B0F0"/>
      <name val="Times New Roman"/>
      <family val="1"/>
    </font>
    <font>
      <b/>
      <sz val="10"/>
      <color rgb="FF00B0F0"/>
      <name val="新細明體"/>
      <family val="1"/>
      <charset val="136"/>
      <scheme val="minor"/>
    </font>
  </fonts>
  <fills count="4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0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lightDown">
        <fgColor indexed="15"/>
        <bgColor indexed="11"/>
      </patternFill>
    </fill>
    <fill>
      <patternFill patternType="lightDown">
        <fgColor indexed="15"/>
        <bgColor indexed="13"/>
      </patternFill>
    </fill>
    <fill>
      <patternFill patternType="lightDown">
        <fgColor indexed="15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</fills>
  <borders count="8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</borders>
  <cellStyleXfs count="91">
    <xf numFmtId="0" fontId="0" fillId="0" borderId="0"/>
    <xf numFmtId="0" fontId="60" fillId="2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1" fillId="12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10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4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6" borderId="0" applyNumberFormat="0" applyBorder="0" applyAlignment="0" applyProtection="0">
      <alignment vertical="center"/>
    </xf>
    <xf numFmtId="0" fontId="61" fillId="17" borderId="0" applyNumberFormat="0" applyBorder="0" applyAlignment="0" applyProtection="0">
      <alignment vertical="center"/>
    </xf>
    <xf numFmtId="0" fontId="61" fillId="18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4" borderId="0" applyNumberFormat="0" applyBorder="0" applyAlignment="0" applyProtection="0">
      <alignment vertical="center"/>
    </xf>
    <xf numFmtId="0" fontId="61" fillId="19" borderId="0" applyNumberFormat="0" applyBorder="0" applyAlignment="0" applyProtection="0">
      <alignment vertical="center"/>
    </xf>
    <xf numFmtId="0" fontId="62" fillId="3" borderId="0" applyNumberFormat="0" applyBorder="0" applyAlignment="0" applyProtection="0">
      <alignment vertical="center"/>
    </xf>
    <xf numFmtId="0" fontId="63" fillId="20" borderId="1" applyNumberFormat="0" applyAlignment="0" applyProtection="0">
      <alignment vertical="center"/>
    </xf>
    <xf numFmtId="0" fontId="64" fillId="21" borderId="2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6" fillId="4" borderId="0" applyNumberFormat="0" applyBorder="0" applyAlignment="0" applyProtection="0">
      <alignment vertical="center"/>
    </xf>
    <xf numFmtId="0" fontId="53" fillId="0" borderId="3" applyNumberFormat="0" applyFill="0" applyAlignment="0" applyProtection="0">
      <alignment vertical="center"/>
    </xf>
    <xf numFmtId="0" fontId="54" fillId="0" borderId="4" applyNumberFormat="0" applyFill="0" applyAlignment="0" applyProtection="0">
      <alignment vertical="center"/>
    </xf>
    <xf numFmtId="0" fontId="55" fillId="0" borderId="5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7" fillId="7" borderId="1" applyNumberFormat="0" applyAlignment="0" applyProtection="0">
      <alignment vertical="center"/>
    </xf>
    <xf numFmtId="0" fontId="68" fillId="0" borderId="6" applyNumberFormat="0" applyFill="0" applyAlignment="0" applyProtection="0">
      <alignment vertical="center"/>
    </xf>
    <xf numFmtId="0" fontId="69" fillId="22" borderId="0" applyNumberFormat="0" applyBorder="0" applyAlignment="0" applyProtection="0">
      <alignment vertical="center"/>
    </xf>
    <xf numFmtId="0" fontId="4" fillId="0" borderId="0"/>
    <xf numFmtId="0" fontId="1" fillId="23" borderId="7" applyNumberFormat="0" applyFont="0" applyAlignment="0" applyProtection="0">
      <alignment vertical="center"/>
    </xf>
    <xf numFmtId="0" fontId="70" fillId="20" borderId="8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" fillId="0" borderId="0"/>
    <xf numFmtId="0" fontId="34" fillId="0" borderId="0"/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96" fillId="2" borderId="0" applyNumberFormat="0" applyBorder="0" applyAlignment="0" applyProtection="0">
      <alignment vertical="center"/>
    </xf>
    <xf numFmtId="0" fontId="96" fillId="3" borderId="0" applyNumberFormat="0" applyBorder="0" applyAlignment="0" applyProtection="0">
      <alignment vertical="center"/>
    </xf>
    <xf numFmtId="0" fontId="96" fillId="4" borderId="0" applyNumberFormat="0" applyBorder="0" applyAlignment="0" applyProtection="0">
      <alignment vertical="center"/>
    </xf>
    <xf numFmtId="0" fontId="96" fillId="5" borderId="0" applyNumberFormat="0" applyBorder="0" applyAlignment="0" applyProtection="0">
      <alignment vertical="center"/>
    </xf>
    <xf numFmtId="0" fontId="96" fillId="6" borderId="0" applyNumberFormat="0" applyBorder="0" applyAlignment="0" applyProtection="0">
      <alignment vertical="center"/>
    </xf>
    <xf numFmtId="0" fontId="96" fillId="7" borderId="0" applyNumberFormat="0" applyBorder="0" applyAlignment="0" applyProtection="0">
      <alignment vertical="center"/>
    </xf>
    <xf numFmtId="0" fontId="96" fillId="8" borderId="0" applyNumberFormat="0" applyBorder="0" applyAlignment="0" applyProtection="0">
      <alignment vertical="center"/>
    </xf>
    <xf numFmtId="0" fontId="96" fillId="9" borderId="0" applyNumberFormat="0" applyBorder="0" applyAlignment="0" applyProtection="0">
      <alignment vertical="center"/>
    </xf>
    <xf numFmtId="0" fontId="96" fillId="10" borderId="0" applyNumberFormat="0" applyBorder="0" applyAlignment="0" applyProtection="0">
      <alignment vertical="center"/>
    </xf>
    <xf numFmtId="0" fontId="96" fillId="5" borderId="0" applyNumberFormat="0" applyBorder="0" applyAlignment="0" applyProtection="0">
      <alignment vertical="center"/>
    </xf>
    <xf numFmtId="0" fontId="96" fillId="8" borderId="0" applyNumberFormat="0" applyBorder="0" applyAlignment="0" applyProtection="0">
      <alignment vertical="center"/>
    </xf>
    <xf numFmtId="0" fontId="96" fillId="11" borderId="0" applyNumberFormat="0" applyBorder="0" applyAlignment="0" applyProtection="0">
      <alignment vertical="center"/>
    </xf>
    <xf numFmtId="0" fontId="98" fillId="12" borderId="0" applyNumberFormat="0" applyBorder="0" applyAlignment="0" applyProtection="0">
      <alignment vertical="center"/>
    </xf>
    <xf numFmtId="0" fontId="98" fillId="9" borderId="0" applyNumberFormat="0" applyBorder="0" applyAlignment="0" applyProtection="0">
      <alignment vertical="center"/>
    </xf>
    <xf numFmtId="0" fontId="98" fillId="10" borderId="0" applyNumberFormat="0" applyBorder="0" applyAlignment="0" applyProtection="0">
      <alignment vertical="center"/>
    </xf>
    <xf numFmtId="0" fontId="98" fillId="13" borderId="0" applyNumberFormat="0" applyBorder="0" applyAlignment="0" applyProtection="0">
      <alignment vertical="center"/>
    </xf>
    <xf numFmtId="0" fontId="98" fillId="14" borderId="0" applyNumberFormat="0" applyBorder="0" applyAlignment="0" applyProtection="0">
      <alignment vertical="center"/>
    </xf>
    <xf numFmtId="0" fontId="98" fillId="15" borderId="0" applyNumberFormat="0" applyBorder="0" applyAlignment="0" applyProtection="0">
      <alignment vertical="center"/>
    </xf>
    <xf numFmtId="0" fontId="95" fillId="22" borderId="0" applyNumberFormat="0" applyBorder="0" applyAlignment="0" applyProtection="0">
      <alignment vertical="center"/>
    </xf>
    <xf numFmtId="0" fontId="50" fillId="0" borderId="9" applyNumberFormat="0" applyFill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99" fillId="20" borderId="1" applyNumberFormat="0" applyAlignment="0" applyProtection="0">
      <alignment vertical="center"/>
    </xf>
    <xf numFmtId="0" fontId="100" fillId="0" borderId="6" applyNumberFormat="0" applyFill="0" applyAlignment="0" applyProtection="0">
      <alignment vertical="center"/>
    </xf>
    <xf numFmtId="0" fontId="1" fillId="23" borderId="7" applyNumberFormat="0" applyFont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98" fillId="16" borderId="0" applyNumberFormat="0" applyBorder="0" applyAlignment="0" applyProtection="0">
      <alignment vertical="center"/>
    </xf>
    <xf numFmtId="0" fontId="98" fillId="17" borderId="0" applyNumberFormat="0" applyBorder="0" applyAlignment="0" applyProtection="0">
      <alignment vertical="center"/>
    </xf>
    <xf numFmtId="0" fontId="98" fillId="18" borderId="0" applyNumberFormat="0" applyBorder="0" applyAlignment="0" applyProtection="0">
      <alignment vertical="center"/>
    </xf>
    <xf numFmtId="0" fontId="98" fillId="13" borderId="0" applyNumberFormat="0" applyBorder="0" applyAlignment="0" applyProtection="0">
      <alignment vertical="center"/>
    </xf>
    <xf numFmtId="0" fontId="98" fillId="14" borderId="0" applyNumberFormat="0" applyBorder="0" applyAlignment="0" applyProtection="0">
      <alignment vertical="center"/>
    </xf>
    <xf numFmtId="0" fontId="98" fillId="1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3" applyNumberFormat="0" applyFill="0" applyAlignment="0" applyProtection="0">
      <alignment vertical="center"/>
    </xf>
    <xf numFmtId="0" fontId="54" fillId="0" borderId="4" applyNumberFormat="0" applyFill="0" applyAlignment="0" applyProtection="0">
      <alignment vertical="center"/>
    </xf>
    <xf numFmtId="0" fontId="55" fillId="0" borderId="5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02" fillId="7" borderId="1" applyNumberFormat="0" applyAlignment="0" applyProtection="0">
      <alignment vertical="center"/>
    </xf>
    <xf numFmtId="0" fontId="103" fillId="20" borderId="8" applyNumberFormat="0" applyAlignment="0" applyProtection="0">
      <alignment vertical="center"/>
    </xf>
    <xf numFmtId="0" fontId="104" fillId="21" borderId="2" applyNumberFormat="0" applyAlignment="0" applyProtection="0">
      <alignment vertical="center"/>
    </xf>
    <xf numFmtId="0" fontId="105" fillId="3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34" fillId="0" borderId="0">
      <alignment vertical="center"/>
    </xf>
  </cellStyleXfs>
  <cellXfs count="1090">
    <xf numFmtId="0" fontId="0" fillId="0" borderId="0" xfId="0"/>
    <xf numFmtId="0" fontId="0" fillId="0" borderId="0" xfId="0" applyAlignment="1">
      <alignment horizontal="center"/>
    </xf>
    <xf numFmtId="0" fontId="4" fillId="0" borderId="0" xfId="37"/>
    <xf numFmtId="176" fontId="10" fillId="0" borderId="0" xfId="37" applyNumberFormat="1" applyFont="1"/>
    <xf numFmtId="0" fontId="10" fillId="0" borderId="0" xfId="37" applyFont="1"/>
    <xf numFmtId="176" fontId="5" fillId="24" borderId="10" xfId="37" applyNumberFormat="1" applyFont="1" applyFill="1" applyBorder="1" applyAlignment="1">
      <alignment horizontal="center" vertical="center" wrapText="1"/>
    </xf>
    <xf numFmtId="0" fontId="8" fillId="25" borderId="11" xfId="37" applyFont="1" applyFill="1" applyBorder="1" applyAlignment="1">
      <alignment horizontal="left" vertical="center"/>
    </xf>
    <xf numFmtId="177" fontId="4" fillId="25" borderId="12" xfId="37" applyNumberFormat="1" applyFill="1" applyBorder="1"/>
    <xf numFmtId="176" fontId="4" fillId="25" borderId="12" xfId="37" applyNumberFormat="1" applyFill="1" applyBorder="1"/>
    <xf numFmtId="176" fontId="4" fillId="25" borderId="12" xfId="37" applyNumberFormat="1" applyFill="1" applyBorder="1" applyAlignment="1">
      <alignment horizontal="right"/>
    </xf>
    <xf numFmtId="176" fontId="4" fillId="25" borderId="10" xfId="37" applyNumberFormat="1" applyFill="1" applyBorder="1"/>
    <xf numFmtId="176" fontId="4" fillId="25" borderId="13" xfId="37" applyNumberFormat="1" applyFill="1" applyBorder="1"/>
    <xf numFmtId="0" fontId="4" fillId="25" borderId="12" xfId="37" applyFill="1" applyBorder="1"/>
    <xf numFmtId="176" fontId="4" fillId="25" borderId="14" xfId="37" applyNumberFormat="1" applyFill="1" applyBorder="1"/>
    <xf numFmtId="176" fontId="4" fillId="25" borderId="12" xfId="37" applyNumberFormat="1" applyFill="1" applyBorder="1" applyAlignment="1">
      <alignment horizontal="center"/>
    </xf>
    <xf numFmtId="176" fontId="4" fillId="25" borderId="14" xfId="37" applyNumberFormat="1" applyFill="1" applyBorder="1" applyAlignment="1">
      <alignment horizontal="center"/>
    </xf>
    <xf numFmtId="176" fontId="4" fillId="26" borderId="10" xfId="37" applyNumberFormat="1" applyFill="1" applyBorder="1" applyAlignment="1">
      <alignment horizontal="right"/>
    </xf>
    <xf numFmtId="178" fontId="4" fillId="0" borderId="10" xfId="37" applyNumberFormat="1" applyBorder="1"/>
    <xf numFmtId="178" fontId="4" fillId="26" borderId="10" xfId="37" applyNumberFormat="1" applyFill="1" applyBorder="1"/>
    <xf numFmtId="178" fontId="4" fillId="25" borderId="12" xfId="37" applyNumberFormat="1" applyFill="1" applyBorder="1"/>
    <xf numFmtId="177" fontId="10" fillId="0" borderId="0" xfId="37" applyNumberFormat="1" applyFont="1"/>
    <xf numFmtId="178" fontId="10" fillId="0" borderId="0" xfId="37" applyNumberFormat="1" applyFont="1"/>
    <xf numFmtId="0" fontId="10" fillId="0" borderId="0" xfId="37" applyFont="1" applyAlignment="1">
      <alignment horizontal="center"/>
    </xf>
    <xf numFmtId="178" fontId="4" fillId="27" borderId="0" xfId="37" applyNumberFormat="1" applyFill="1" applyAlignment="1">
      <alignment horizontal="right"/>
    </xf>
    <xf numFmtId="0" fontId="4" fillId="27" borderId="0" xfId="37" applyFill="1"/>
    <xf numFmtId="178" fontId="4" fillId="27" borderId="0" xfId="37" applyNumberFormat="1" applyFill="1"/>
    <xf numFmtId="2" fontId="4" fillId="27" borderId="0" xfId="37" applyNumberFormat="1" applyFill="1" applyAlignment="1">
      <alignment horizontal="center"/>
    </xf>
    <xf numFmtId="176" fontId="4" fillId="27" borderId="0" xfId="37" applyNumberFormat="1" applyFill="1" applyAlignment="1">
      <alignment horizontal="center"/>
    </xf>
    <xf numFmtId="0" fontId="4" fillId="26" borderId="13" xfId="37" applyFill="1" applyBorder="1"/>
    <xf numFmtId="178" fontId="4" fillId="26" borderId="13" xfId="37" applyNumberFormat="1" applyFill="1" applyBorder="1"/>
    <xf numFmtId="178" fontId="4" fillId="26" borderId="13" xfId="37" applyNumberFormat="1" applyFill="1" applyBorder="1" applyAlignment="1">
      <alignment horizontal="right"/>
    </xf>
    <xf numFmtId="2" fontId="4" fillId="26" borderId="13" xfId="37" applyNumberFormat="1" applyFill="1" applyBorder="1" applyAlignment="1">
      <alignment horizontal="center"/>
    </xf>
    <xf numFmtId="176" fontId="4" fillId="26" borderId="13" xfId="37" applyNumberFormat="1" applyFill="1" applyBorder="1" applyAlignment="1">
      <alignment horizontal="center"/>
    </xf>
    <xf numFmtId="0" fontId="4" fillId="26" borderId="15" xfId="37" applyFill="1" applyBorder="1"/>
    <xf numFmtId="178" fontId="4" fillId="26" borderId="15" xfId="37" applyNumberFormat="1" applyFill="1" applyBorder="1"/>
    <xf numFmtId="178" fontId="4" fillId="26" borderId="15" xfId="37" applyNumberFormat="1" applyFill="1" applyBorder="1" applyAlignment="1">
      <alignment horizontal="right"/>
    </xf>
    <xf numFmtId="2" fontId="4" fillId="26" borderId="15" xfId="37" applyNumberFormat="1" applyFill="1" applyBorder="1" applyAlignment="1">
      <alignment horizontal="center"/>
    </xf>
    <xf numFmtId="176" fontId="4" fillId="26" borderId="15" xfId="37" applyNumberFormat="1" applyFill="1" applyBorder="1" applyAlignment="1">
      <alignment horizontal="center"/>
    </xf>
    <xf numFmtId="0" fontId="0" fillId="26" borderId="16" xfId="0" applyFill="1" applyBorder="1"/>
    <xf numFmtId="0" fontId="13" fillId="0" borderId="0" xfId="37" applyFont="1"/>
    <xf numFmtId="0" fontId="9" fillId="27" borderId="0" xfId="0" applyFont="1" applyFill="1" applyAlignment="1">
      <alignment horizontal="center" vertical="center"/>
    </xf>
    <xf numFmtId="0" fontId="4" fillId="0" borderId="0" xfId="37" applyAlignment="1">
      <alignment horizontal="center" vertical="center"/>
    </xf>
    <xf numFmtId="176" fontId="8" fillId="25" borderId="12" xfId="37" applyNumberFormat="1" applyFont="1" applyFill="1" applyBorder="1"/>
    <xf numFmtId="0" fontId="4" fillId="28" borderId="10" xfId="37" applyFill="1" applyBorder="1"/>
    <xf numFmtId="176" fontId="4" fillId="28" borderId="10" xfId="37" applyNumberFormat="1" applyFill="1" applyBorder="1" applyAlignment="1">
      <alignment horizontal="right"/>
    </xf>
    <xf numFmtId="176" fontId="4" fillId="25" borderId="13" xfId="37" applyNumberFormat="1" applyFill="1" applyBorder="1" applyAlignment="1">
      <alignment horizontal="left"/>
    </xf>
    <xf numFmtId="0" fontId="4" fillId="26" borderId="0" xfId="37" applyFill="1"/>
    <xf numFmtId="178" fontId="4" fillId="26" borderId="0" xfId="37" applyNumberFormat="1" applyFill="1"/>
    <xf numFmtId="178" fontId="4" fillId="28" borderId="10" xfId="37" applyNumberFormat="1" applyFill="1" applyBorder="1"/>
    <xf numFmtId="178" fontId="4" fillId="0" borderId="0" xfId="37" applyNumberFormat="1"/>
    <xf numFmtId="0" fontId="4" fillId="0" borderId="0" xfId="37" applyAlignment="1">
      <alignment horizontal="center"/>
    </xf>
    <xf numFmtId="0" fontId="5" fillId="25" borderId="12" xfId="37" applyFont="1" applyFill="1" applyBorder="1" applyAlignment="1">
      <alignment horizontal="left" vertical="center"/>
    </xf>
    <xf numFmtId="0" fontId="4" fillId="0" borderId="17" xfId="37" applyBorder="1"/>
    <xf numFmtId="0" fontId="4" fillId="0" borderId="18" xfId="37" applyBorder="1"/>
    <xf numFmtId="176" fontId="4" fillId="28" borderId="10" xfId="37" applyNumberFormat="1" applyFill="1" applyBorder="1"/>
    <xf numFmtId="0" fontId="4" fillId="25" borderId="13" xfId="37" applyFill="1" applyBorder="1" applyAlignment="1">
      <alignment horizontal="left"/>
    </xf>
    <xf numFmtId="176" fontId="4" fillId="25" borderId="19" xfId="37" applyNumberFormat="1" applyFill="1" applyBorder="1" applyAlignment="1">
      <alignment horizontal="left"/>
    </xf>
    <xf numFmtId="0" fontId="4" fillId="25" borderId="10" xfId="37" applyFill="1" applyBorder="1" applyAlignment="1">
      <alignment horizontal="left"/>
    </xf>
    <xf numFmtId="0" fontId="4" fillId="26" borderId="10" xfId="37" applyFill="1" applyBorder="1" applyProtection="1">
      <protection locked="0"/>
    </xf>
    <xf numFmtId="0" fontId="12" fillId="26" borderId="11" xfId="37" applyFont="1" applyFill="1" applyBorder="1"/>
    <xf numFmtId="0" fontId="12" fillId="26" borderId="12" xfId="37" applyFont="1" applyFill="1" applyBorder="1" applyAlignment="1">
      <alignment horizontal="right"/>
    </xf>
    <xf numFmtId="176" fontId="4" fillId="0" borderId="0" xfId="37" applyNumberFormat="1"/>
    <xf numFmtId="176" fontId="12" fillId="0" borderId="0" xfId="37" applyNumberFormat="1" applyFont="1" applyAlignment="1">
      <alignment horizontal="right"/>
    </xf>
    <xf numFmtId="176" fontId="10" fillId="0" borderId="0" xfId="37" applyNumberFormat="1" applyFont="1" applyAlignment="1">
      <alignment wrapText="1"/>
    </xf>
    <xf numFmtId="0" fontId="11" fillId="0" borderId="0" xfId="37" applyFont="1" applyAlignment="1">
      <alignment wrapText="1"/>
    </xf>
    <xf numFmtId="176" fontId="11" fillId="0" borderId="0" xfId="37" applyNumberFormat="1" applyFont="1" applyAlignment="1">
      <alignment wrapText="1"/>
    </xf>
    <xf numFmtId="178" fontId="4" fillId="28" borderId="20" xfId="37" applyNumberFormat="1" applyFill="1" applyBorder="1" applyAlignment="1">
      <alignment horizontal="right"/>
    </xf>
    <xf numFmtId="178" fontId="4" fillId="28" borderId="20" xfId="37" applyNumberFormat="1" applyFill="1" applyBorder="1"/>
    <xf numFmtId="178" fontId="5" fillId="25" borderId="15" xfId="37" applyNumberFormat="1" applyFont="1" applyFill="1" applyBorder="1" applyAlignment="1">
      <alignment horizontal="left" vertical="center"/>
    </xf>
    <xf numFmtId="178" fontId="4" fillId="25" borderId="10" xfId="37" applyNumberFormat="1" applyFill="1" applyBorder="1" applyAlignment="1">
      <alignment horizontal="left"/>
    </xf>
    <xf numFmtId="176" fontId="4" fillId="26" borderId="12" xfId="37" applyNumberFormat="1" applyFill="1" applyBorder="1" applyAlignment="1">
      <alignment horizontal="right"/>
    </xf>
    <xf numFmtId="178" fontId="4" fillId="26" borderId="12" xfId="37" applyNumberFormat="1" applyFill="1" applyBorder="1"/>
    <xf numFmtId="0" fontId="8" fillId="25" borderId="10" xfId="37" applyFont="1" applyFill="1" applyBorder="1"/>
    <xf numFmtId="176" fontId="8" fillId="25" borderId="10" xfId="37" applyNumberFormat="1" applyFont="1" applyFill="1" applyBorder="1"/>
    <xf numFmtId="178" fontId="14" fillId="29" borderId="10" xfId="37" applyNumberFormat="1" applyFont="1" applyFill="1" applyBorder="1"/>
    <xf numFmtId="178" fontId="4" fillId="29" borderId="10" xfId="37" applyNumberFormat="1" applyFill="1" applyBorder="1"/>
    <xf numFmtId="0" fontId="9" fillId="27" borderId="15" xfId="0" applyFont="1" applyFill="1" applyBorder="1" applyAlignment="1">
      <alignment horizontal="center" vertical="center"/>
    </xf>
    <xf numFmtId="0" fontId="4" fillId="29" borderId="10" xfId="37" applyFill="1" applyBorder="1"/>
    <xf numFmtId="0" fontId="0" fillId="27" borderId="15" xfId="0" applyFill="1" applyBorder="1" applyAlignment="1">
      <alignment vertical="center"/>
    </xf>
    <xf numFmtId="0" fontId="0" fillId="27" borderId="15" xfId="0" applyFill="1" applyBorder="1"/>
    <xf numFmtId="176" fontId="10" fillId="27" borderId="0" xfId="37" applyNumberFormat="1" applyFont="1" applyFill="1"/>
    <xf numFmtId="0" fontId="15" fillId="27" borderId="15" xfId="0" applyFont="1" applyFill="1" applyBorder="1" applyAlignment="1">
      <alignment vertical="center"/>
    </xf>
    <xf numFmtId="0" fontId="12" fillId="0" borderId="0" xfId="37" applyFont="1"/>
    <xf numFmtId="0" fontId="12" fillId="27" borderId="0" xfId="0" applyFont="1" applyFill="1" applyAlignment="1" applyProtection="1">
      <alignment vertical="center"/>
      <protection locked="0"/>
    </xf>
    <xf numFmtId="0" fontId="12" fillId="27" borderId="0" xfId="37" applyFont="1" applyFill="1" applyProtection="1">
      <protection locked="0"/>
    </xf>
    <xf numFmtId="0" fontId="0" fillId="27" borderId="0" xfId="0" applyFill="1"/>
    <xf numFmtId="0" fontId="5" fillId="24" borderId="10" xfId="37" applyFont="1" applyFill="1" applyBorder="1" applyAlignment="1" applyProtection="1">
      <alignment horizontal="center" vertical="center" wrapText="1"/>
      <protection hidden="1"/>
    </xf>
    <xf numFmtId="177" fontId="5" fillId="24" borderId="10" xfId="37" applyNumberFormat="1" applyFont="1" applyFill="1" applyBorder="1" applyAlignment="1" applyProtection="1">
      <alignment horizontal="center" vertical="center" wrapText="1"/>
      <protection hidden="1"/>
    </xf>
    <xf numFmtId="176" fontId="5" fillId="24" borderId="10" xfId="37" applyNumberFormat="1" applyFont="1" applyFill="1" applyBorder="1" applyAlignment="1" applyProtection="1">
      <alignment horizontal="center" vertical="center" wrapText="1"/>
      <protection hidden="1"/>
    </xf>
    <xf numFmtId="0" fontId="5" fillId="24" borderId="14" xfId="37" applyFont="1" applyFill="1" applyBorder="1" applyAlignment="1" applyProtection="1">
      <alignment horizontal="center" vertical="center" wrapText="1"/>
      <protection hidden="1"/>
    </xf>
    <xf numFmtId="176" fontId="4" fillId="25" borderId="12" xfId="37" applyNumberFormat="1" applyFill="1" applyBorder="1" applyProtection="1">
      <protection hidden="1"/>
    </xf>
    <xf numFmtId="178" fontId="4" fillId="26" borderId="14" xfId="37" applyNumberFormat="1" applyFill="1" applyBorder="1" applyAlignment="1" applyProtection="1">
      <alignment horizontal="right"/>
      <protection hidden="1"/>
    </xf>
    <xf numFmtId="0" fontId="4" fillId="29" borderId="10" xfId="37" applyFill="1" applyBorder="1" applyProtection="1">
      <protection hidden="1"/>
    </xf>
    <xf numFmtId="0" fontId="4" fillId="26" borderId="10" xfId="37" applyFill="1" applyBorder="1" applyProtection="1">
      <protection hidden="1"/>
    </xf>
    <xf numFmtId="0" fontId="8" fillId="25" borderId="11" xfId="37" applyFont="1" applyFill="1" applyBorder="1" applyAlignment="1" applyProtection="1">
      <alignment horizontal="left" vertical="center"/>
      <protection hidden="1"/>
    </xf>
    <xf numFmtId="0" fontId="8" fillId="25" borderId="12" xfId="37" applyFont="1" applyFill="1" applyBorder="1" applyAlignment="1" applyProtection="1">
      <alignment horizontal="right" vertical="center"/>
      <protection hidden="1"/>
    </xf>
    <xf numFmtId="0" fontId="8" fillId="27" borderId="11" xfId="37" applyFont="1" applyFill="1" applyBorder="1" applyAlignment="1" applyProtection="1">
      <alignment horizontal="left" vertical="center"/>
      <protection hidden="1"/>
    </xf>
    <xf numFmtId="0" fontId="4" fillId="27" borderId="0" xfId="37" applyFill="1" applyAlignment="1" applyProtection="1">
      <alignment horizontal="right"/>
      <protection hidden="1"/>
    </xf>
    <xf numFmtId="178" fontId="4" fillId="27" borderId="0" xfId="37" applyNumberFormat="1" applyFill="1" applyAlignment="1" applyProtection="1">
      <alignment horizontal="right"/>
      <protection hidden="1"/>
    </xf>
    <xf numFmtId="0" fontId="4" fillId="26" borderId="11" xfId="37" applyFill="1" applyBorder="1" applyProtection="1">
      <protection hidden="1"/>
    </xf>
    <xf numFmtId="0" fontId="4" fillId="26" borderId="11" xfId="37" applyFill="1" applyBorder="1" applyAlignment="1" applyProtection="1">
      <alignment horizontal="left"/>
      <protection hidden="1"/>
    </xf>
    <xf numFmtId="0" fontId="9" fillId="27" borderId="0" xfId="0" applyFont="1" applyFill="1" applyAlignment="1" applyProtection="1">
      <alignment horizontal="center" vertical="center"/>
      <protection hidden="1"/>
    </xf>
    <xf numFmtId="0" fontId="8" fillId="25" borderId="12" xfId="37" applyFont="1" applyFill="1" applyBorder="1" applyAlignment="1" applyProtection="1">
      <alignment horizontal="left" vertical="center"/>
      <protection hidden="1"/>
    </xf>
    <xf numFmtId="0" fontId="4" fillId="28" borderId="10" xfId="37" applyFill="1" applyBorder="1" applyProtection="1">
      <protection hidden="1"/>
    </xf>
    <xf numFmtId="176" fontId="4" fillId="25" borderId="12" xfId="37" applyNumberFormat="1" applyFill="1" applyBorder="1" applyAlignment="1" applyProtection="1">
      <alignment horizontal="left"/>
      <protection hidden="1"/>
    </xf>
    <xf numFmtId="0" fontId="4" fillId="26" borderId="0" xfId="37" applyFill="1" applyProtection="1">
      <protection hidden="1"/>
    </xf>
    <xf numFmtId="0" fontId="4" fillId="26" borderId="0" xfId="37" applyFill="1" applyAlignment="1" applyProtection="1">
      <alignment horizontal="center"/>
      <protection hidden="1"/>
    </xf>
    <xf numFmtId="177" fontId="5" fillId="24" borderId="14" xfId="37" applyNumberFormat="1" applyFont="1" applyFill="1" applyBorder="1" applyAlignment="1" applyProtection="1">
      <alignment horizontal="center" vertical="center" wrapText="1"/>
      <protection hidden="1"/>
    </xf>
    <xf numFmtId="0" fontId="4" fillId="28" borderId="10" xfId="37" applyFill="1" applyBorder="1" applyAlignment="1" applyProtection="1">
      <alignment horizontal="right"/>
      <protection hidden="1"/>
    </xf>
    <xf numFmtId="177" fontId="4" fillId="25" borderId="12" xfId="37" applyNumberFormat="1" applyFill="1" applyBorder="1" applyProtection="1">
      <protection hidden="1"/>
    </xf>
    <xf numFmtId="177" fontId="4" fillId="28" borderId="10" xfId="37" applyNumberFormat="1" applyFill="1" applyBorder="1" applyAlignment="1" applyProtection="1">
      <alignment horizontal="right"/>
      <protection hidden="1"/>
    </xf>
    <xf numFmtId="178" fontId="4" fillId="26" borderId="12" xfId="37" applyNumberFormat="1" applyFill="1" applyBorder="1" applyAlignment="1" applyProtection="1">
      <alignment horizontal="right"/>
      <protection hidden="1"/>
    </xf>
    <xf numFmtId="0" fontId="4" fillId="28" borderId="10" xfId="37" applyFill="1" applyBorder="1" applyAlignment="1" applyProtection="1">
      <alignment horizontal="center"/>
      <protection hidden="1"/>
    </xf>
    <xf numFmtId="176" fontId="4" fillId="25" borderId="20" xfId="37" applyNumberFormat="1" applyFill="1" applyBorder="1"/>
    <xf numFmtId="178" fontId="4" fillId="26" borderId="21" xfId="37" applyNumberFormat="1" applyFill="1" applyBorder="1"/>
    <xf numFmtId="178" fontId="4" fillId="26" borderId="19" xfId="37" applyNumberFormat="1" applyFill="1" applyBorder="1"/>
    <xf numFmtId="178" fontId="4" fillId="26" borderId="22" xfId="37" applyNumberFormat="1" applyFill="1" applyBorder="1"/>
    <xf numFmtId="178" fontId="4" fillId="26" borderId="23" xfId="37" applyNumberFormat="1" applyFill="1" applyBorder="1"/>
    <xf numFmtId="178" fontId="4" fillId="26" borderId="16" xfId="37" applyNumberFormat="1" applyFill="1" applyBorder="1"/>
    <xf numFmtId="178" fontId="4" fillId="26" borderId="24" xfId="37" applyNumberFormat="1" applyFill="1" applyBorder="1"/>
    <xf numFmtId="0" fontId="4" fillId="25" borderId="13" xfId="37" applyFill="1" applyBorder="1"/>
    <xf numFmtId="0" fontId="8" fillId="27" borderId="15" xfId="0" applyFont="1" applyFill="1" applyBorder="1" applyAlignment="1">
      <alignment vertical="center"/>
    </xf>
    <xf numFmtId="0" fontId="3" fillId="27" borderId="0" xfId="0" applyFont="1" applyFill="1" applyAlignment="1" applyProtection="1">
      <alignment horizontal="center" vertical="center"/>
      <protection locked="0"/>
    </xf>
    <xf numFmtId="0" fontId="2" fillId="24" borderId="10" xfId="37" applyFont="1" applyFill="1" applyBorder="1" applyAlignment="1" applyProtection="1">
      <alignment horizontal="center" vertical="center" wrapText="1"/>
      <protection hidden="1"/>
    </xf>
    <xf numFmtId="0" fontId="2" fillId="24" borderId="22" xfId="37" applyFont="1" applyFill="1" applyBorder="1" applyAlignment="1" applyProtection="1">
      <alignment horizontal="center" vertical="center" wrapText="1"/>
      <protection hidden="1"/>
    </xf>
    <xf numFmtId="176" fontId="2" fillId="24" borderId="25" xfId="37" applyNumberFormat="1" applyFont="1" applyFill="1" applyBorder="1" applyAlignment="1" applyProtection="1">
      <alignment horizontal="center" vertical="center" wrapText="1"/>
      <protection hidden="1"/>
    </xf>
    <xf numFmtId="177" fontId="2" fillId="24" borderId="26" xfId="37" applyNumberFormat="1" applyFont="1" applyFill="1" applyBorder="1" applyAlignment="1" applyProtection="1">
      <alignment horizontal="center" vertical="center" wrapText="1"/>
      <protection hidden="1"/>
    </xf>
    <xf numFmtId="177" fontId="2" fillId="24" borderId="10" xfId="37" applyNumberFormat="1" applyFont="1" applyFill="1" applyBorder="1" applyAlignment="1" applyProtection="1">
      <alignment horizontal="center" vertical="center" wrapText="1"/>
      <protection hidden="1"/>
    </xf>
    <xf numFmtId="0" fontId="2" fillId="24" borderId="14" xfId="37" applyFont="1" applyFill="1" applyBorder="1" applyAlignment="1" applyProtection="1">
      <alignment horizontal="center" vertical="center" wrapText="1"/>
      <protection hidden="1"/>
    </xf>
    <xf numFmtId="176" fontId="2" fillId="24" borderId="10" xfId="37" applyNumberFormat="1" applyFont="1" applyFill="1" applyBorder="1" applyAlignment="1" applyProtection="1">
      <alignment horizontal="center" vertical="center" wrapText="1"/>
      <protection hidden="1"/>
    </xf>
    <xf numFmtId="176" fontId="2" fillId="24" borderId="20" xfId="37" applyNumberFormat="1" applyFont="1" applyFill="1" applyBorder="1" applyAlignment="1" applyProtection="1">
      <alignment horizontal="center" vertical="center" wrapText="1"/>
      <protection hidden="1"/>
    </xf>
    <xf numFmtId="176" fontId="2" fillId="24" borderId="19" xfId="37" applyNumberFormat="1" applyFont="1" applyFill="1" applyBorder="1" applyAlignment="1" applyProtection="1">
      <alignment horizontal="center" vertical="center" wrapText="1"/>
      <protection hidden="1"/>
    </xf>
    <xf numFmtId="176" fontId="2" fillId="24" borderId="11" xfId="37" applyNumberFormat="1" applyFont="1" applyFill="1" applyBorder="1" applyAlignment="1" applyProtection="1">
      <alignment horizontal="center" vertical="center" wrapText="1"/>
      <protection hidden="1"/>
    </xf>
    <xf numFmtId="0" fontId="10" fillId="0" borderId="0" xfId="37" applyFont="1" applyAlignment="1">
      <alignment horizontal="center" vertical="center"/>
    </xf>
    <xf numFmtId="0" fontId="17" fillId="25" borderId="12" xfId="37" applyFont="1" applyFill="1" applyBorder="1" applyAlignment="1">
      <alignment horizontal="left" vertical="center"/>
    </xf>
    <xf numFmtId="176" fontId="10" fillId="25" borderId="12" xfId="37" applyNumberFormat="1" applyFont="1" applyFill="1" applyBorder="1"/>
    <xf numFmtId="176" fontId="17" fillId="25" borderId="12" xfId="37" applyNumberFormat="1" applyFont="1" applyFill="1" applyBorder="1"/>
    <xf numFmtId="176" fontId="10" fillId="25" borderId="10" xfId="37" applyNumberFormat="1" applyFont="1" applyFill="1" applyBorder="1"/>
    <xf numFmtId="0" fontId="17" fillId="0" borderId="0" xfId="37" applyFont="1"/>
    <xf numFmtId="176" fontId="17" fillId="0" borderId="0" xfId="37" applyNumberFormat="1" applyFont="1"/>
    <xf numFmtId="0" fontId="10" fillId="28" borderId="25" xfId="37" applyFont="1" applyFill="1" applyBorder="1"/>
    <xf numFmtId="0" fontId="10" fillId="28" borderId="22" xfId="37" applyFont="1" applyFill="1" applyBorder="1"/>
    <xf numFmtId="176" fontId="10" fillId="28" borderId="25" xfId="37" applyNumberFormat="1" applyFont="1" applyFill="1" applyBorder="1" applyAlignment="1">
      <alignment horizontal="right"/>
    </xf>
    <xf numFmtId="0" fontId="10" fillId="28" borderId="10" xfId="37" applyFont="1" applyFill="1" applyBorder="1"/>
    <xf numFmtId="176" fontId="10" fillId="28" borderId="10" xfId="37" applyNumberFormat="1" applyFont="1" applyFill="1" applyBorder="1" applyAlignment="1">
      <alignment horizontal="right"/>
    </xf>
    <xf numFmtId="176" fontId="10" fillId="28" borderId="25" xfId="37" applyNumberFormat="1" applyFont="1" applyFill="1" applyBorder="1"/>
    <xf numFmtId="0" fontId="10" fillId="28" borderId="10" xfId="37" applyFont="1" applyFill="1" applyBorder="1" applyProtection="1">
      <protection hidden="1"/>
    </xf>
    <xf numFmtId="176" fontId="10" fillId="28" borderId="25" xfId="37" applyNumberFormat="1" applyFont="1" applyFill="1" applyBorder="1" applyAlignment="1" applyProtection="1">
      <alignment horizontal="right"/>
      <protection hidden="1"/>
    </xf>
    <xf numFmtId="176" fontId="10" fillId="28" borderId="23" xfId="37" applyNumberFormat="1" applyFont="1" applyFill="1" applyBorder="1" applyAlignment="1" applyProtection="1">
      <alignment horizontal="right"/>
      <protection hidden="1"/>
    </xf>
    <xf numFmtId="176" fontId="10" fillId="28" borderId="25" xfId="37" applyNumberFormat="1" applyFont="1" applyFill="1" applyBorder="1" applyProtection="1">
      <protection hidden="1"/>
    </xf>
    <xf numFmtId="176" fontId="10" fillId="28" borderId="22" xfId="37" applyNumberFormat="1" applyFont="1" applyFill="1" applyBorder="1" applyProtection="1">
      <protection hidden="1"/>
    </xf>
    <xf numFmtId="176" fontId="10" fillId="28" borderId="23" xfId="37" applyNumberFormat="1" applyFont="1" applyFill="1" applyBorder="1" applyProtection="1">
      <protection hidden="1"/>
    </xf>
    <xf numFmtId="176" fontId="10" fillId="28" borderId="25" xfId="37" applyNumberFormat="1" applyFont="1" applyFill="1" applyBorder="1" applyAlignment="1" applyProtection="1">
      <alignment horizontal="center"/>
      <protection hidden="1"/>
    </xf>
    <xf numFmtId="176" fontId="10" fillId="28" borderId="11" xfId="37" applyNumberFormat="1" applyFont="1" applyFill="1" applyBorder="1" applyAlignment="1" applyProtection="1">
      <alignment horizontal="center"/>
      <protection hidden="1"/>
    </xf>
    <xf numFmtId="176" fontId="10" fillId="28" borderId="10" xfId="37" applyNumberFormat="1" applyFont="1" applyFill="1" applyBorder="1" applyAlignment="1" applyProtection="1">
      <alignment horizontal="center"/>
      <protection hidden="1"/>
    </xf>
    <xf numFmtId="176" fontId="10" fillId="25" borderId="12" xfId="37" applyNumberFormat="1" applyFont="1" applyFill="1" applyBorder="1" applyAlignment="1">
      <alignment horizontal="left"/>
    </xf>
    <xf numFmtId="176" fontId="10" fillId="25" borderId="13" xfId="37" applyNumberFormat="1" applyFont="1" applyFill="1" applyBorder="1" applyAlignment="1">
      <alignment horizontal="left"/>
    </xf>
    <xf numFmtId="176" fontId="10" fillId="25" borderId="0" xfId="37" applyNumberFormat="1" applyFont="1" applyFill="1" applyAlignment="1">
      <alignment horizontal="left"/>
    </xf>
    <xf numFmtId="176" fontId="10" fillId="25" borderId="0" xfId="37" applyNumberFormat="1" applyFont="1" applyFill="1" applyAlignment="1" applyProtection="1">
      <alignment horizontal="left"/>
      <protection hidden="1"/>
    </xf>
    <xf numFmtId="176" fontId="10" fillId="25" borderId="12" xfId="37" applyNumberFormat="1" applyFont="1" applyFill="1" applyBorder="1" applyAlignment="1" applyProtection="1">
      <alignment horizontal="left"/>
      <protection hidden="1"/>
    </xf>
    <xf numFmtId="0" fontId="10" fillId="25" borderId="12" xfId="37" applyFont="1" applyFill="1" applyBorder="1" applyAlignment="1" applyProtection="1">
      <alignment horizontal="left"/>
      <protection hidden="1"/>
    </xf>
    <xf numFmtId="0" fontId="10" fillId="29" borderId="26" xfId="37" applyFont="1" applyFill="1" applyBorder="1" applyProtection="1">
      <protection hidden="1"/>
    </xf>
    <xf numFmtId="0" fontId="10" fillId="29" borderId="16" xfId="37" applyFont="1" applyFill="1" applyBorder="1" applyProtection="1">
      <protection hidden="1"/>
    </xf>
    <xf numFmtId="178" fontId="10" fillId="29" borderId="16" xfId="37" applyNumberFormat="1" applyFont="1" applyFill="1" applyBorder="1" applyProtection="1">
      <protection hidden="1"/>
    </xf>
    <xf numFmtId="176" fontId="10" fillId="26" borderId="16" xfId="37" applyNumberFormat="1" applyFont="1" applyFill="1" applyBorder="1" applyAlignment="1">
      <alignment horizontal="right"/>
    </xf>
    <xf numFmtId="178" fontId="10" fillId="0" borderId="10" xfId="37" applyNumberFormat="1" applyFont="1" applyBorder="1"/>
    <xf numFmtId="178" fontId="10" fillId="30" borderId="10" xfId="37" applyNumberFormat="1" applyFont="1" applyFill="1" applyBorder="1" applyProtection="1">
      <protection hidden="1"/>
    </xf>
    <xf numFmtId="178" fontId="10" fillId="26" borderId="10" xfId="37" applyNumberFormat="1" applyFont="1" applyFill="1" applyBorder="1" applyAlignment="1" applyProtection="1">
      <alignment horizontal="right"/>
      <protection hidden="1"/>
    </xf>
    <xf numFmtId="178" fontId="10" fillId="26" borderId="10" xfId="37" applyNumberFormat="1" applyFont="1" applyFill="1" applyBorder="1" applyAlignment="1">
      <alignment horizontal="right"/>
    </xf>
    <xf numFmtId="178" fontId="10" fillId="0" borderId="10" xfId="37" applyNumberFormat="1" applyFont="1" applyBorder="1" applyProtection="1">
      <protection locked="0"/>
    </xf>
    <xf numFmtId="178" fontId="10" fillId="26" borderId="24" xfId="37" applyNumberFormat="1" applyFont="1" applyFill="1" applyBorder="1" applyAlignment="1" applyProtection="1">
      <alignment horizontal="right"/>
      <protection hidden="1"/>
    </xf>
    <xf numFmtId="178" fontId="10" fillId="31" borderId="24" xfId="37" applyNumberFormat="1" applyFont="1" applyFill="1" applyBorder="1" applyAlignment="1" applyProtection="1">
      <alignment horizontal="right"/>
      <protection hidden="1"/>
    </xf>
    <xf numFmtId="178" fontId="10" fillId="30" borderId="26" xfId="37" applyNumberFormat="1" applyFont="1" applyFill="1" applyBorder="1" applyProtection="1">
      <protection hidden="1"/>
    </xf>
    <xf numFmtId="178" fontId="10" fillId="30" borderId="24" xfId="37" applyNumberFormat="1" applyFont="1" applyFill="1" applyBorder="1" applyAlignment="1" applyProtection="1">
      <alignment horizontal="center"/>
      <protection hidden="1"/>
    </xf>
    <xf numFmtId="178" fontId="10" fillId="30" borderId="26" xfId="37" applyNumberFormat="1" applyFont="1" applyFill="1" applyBorder="1" applyAlignment="1" applyProtection="1">
      <alignment horizontal="center"/>
      <protection hidden="1"/>
    </xf>
    <xf numFmtId="178" fontId="10" fillId="30" borderId="16" xfId="37" applyNumberFormat="1" applyFont="1" applyFill="1" applyBorder="1" applyAlignment="1" applyProtection="1">
      <alignment horizontal="center"/>
      <protection hidden="1"/>
    </xf>
    <xf numFmtId="176" fontId="10" fillId="30" borderId="16" xfId="37" applyNumberFormat="1" applyFont="1" applyFill="1" applyBorder="1" applyAlignment="1" applyProtection="1">
      <alignment horizontal="center"/>
      <protection hidden="1"/>
    </xf>
    <xf numFmtId="178" fontId="10" fillId="29" borderId="11" xfId="37" applyNumberFormat="1" applyFont="1" applyFill="1" applyBorder="1" applyProtection="1">
      <protection hidden="1"/>
    </xf>
    <xf numFmtId="176" fontId="10" fillId="26" borderId="11" xfId="37" applyNumberFormat="1" applyFont="1" applyFill="1" applyBorder="1" applyAlignment="1">
      <alignment horizontal="right"/>
    </xf>
    <xf numFmtId="178" fontId="10" fillId="26" borderId="14" xfId="37" applyNumberFormat="1" applyFont="1" applyFill="1" applyBorder="1" applyAlignment="1" applyProtection="1">
      <alignment horizontal="right"/>
      <protection hidden="1"/>
    </xf>
    <xf numFmtId="0" fontId="17" fillId="25" borderId="12" xfId="37" applyFont="1" applyFill="1" applyBorder="1" applyAlignment="1" applyProtection="1">
      <alignment horizontal="left" vertical="center"/>
      <protection hidden="1"/>
    </xf>
    <xf numFmtId="178" fontId="17" fillId="25" borderId="12" xfId="37" applyNumberFormat="1" applyFont="1" applyFill="1" applyBorder="1" applyAlignment="1">
      <alignment horizontal="left" vertical="center"/>
    </xf>
    <xf numFmtId="178" fontId="10" fillId="25" borderId="12" xfId="37" applyNumberFormat="1" applyFont="1" applyFill="1" applyBorder="1" applyAlignment="1">
      <alignment horizontal="left"/>
    </xf>
    <xf numFmtId="178" fontId="10" fillId="25" borderId="12" xfId="37" applyNumberFormat="1" applyFont="1" applyFill="1" applyBorder="1" applyAlignment="1" applyProtection="1">
      <alignment horizontal="right"/>
      <protection hidden="1"/>
    </xf>
    <xf numFmtId="178" fontId="10" fillId="25" borderId="12" xfId="37" applyNumberFormat="1" applyFont="1" applyFill="1" applyBorder="1" applyAlignment="1" applyProtection="1">
      <alignment horizontal="left"/>
      <protection hidden="1"/>
    </xf>
    <xf numFmtId="178" fontId="10" fillId="25" borderId="12" xfId="37" applyNumberFormat="1" applyFont="1" applyFill="1" applyBorder="1" applyAlignment="1" applyProtection="1">
      <alignment horizontal="center"/>
      <protection hidden="1"/>
    </xf>
    <xf numFmtId="176" fontId="10" fillId="25" borderId="11" xfId="37" applyNumberFormat="1" applyFont="1" applyFill="1" applyBorder="1" applyAlignment="1" applyProtection="1">
      <alignment horizontal="center"/>
      <protection hidden="1"/>
    </xf>
    <xf numFmtId="176" fontId="10" fillId="25" borderId="12" xfId="37" applyNumberFormat="1" applyFont="1" applyFill="1" applyBorder="1" applyAlignment="1" applyProtection="1">
      <alignment horizontal="center"/>
      <protection hidden="1"/>
    </xf>
    <xf numFmtId="0" fontId="10" fillId="29" borderId="22" xfId="37" applyFont="1" applyFill="1" applyBorder="1" applyProtection="1">
      <protection hidden="1"/>
    </xf>
    <xf numFmtId="178" fontId="10" fillId="29" borderId="21" xfId="37" applyNumberFormat="1" applyFont="1" applyFill="1" applyBorder="1" applyProtection="1">
      <protection hidden="1"/>
    </xf>
    <xf numFmtId="176" fontId="10" fillId="26" borderId="21" xfId="37" applyNumberFormat="1" applyFont="1" applyFill="1" applyBorder="1" applyAlignment="1">
      <alignment horizontal="right"/>
    </xf>
    <xf numFmtId="178" fontId="10" fillId="26" borderId="19" xfId="37" applyNumberFormat="1" applyFont="1" applyFill="1" applyBorder="1" applyAlignment="1" applyProtection="1">
      <alignment horizontal="right"/>
      <protection hidden="1"/>
    </xf>
    <xf numFmtId="0" fontId="2" fillId="24" borderId="20" xfId="37" applyFont="1" applyFill="1" applyBorder="1" applyAlignment="1" applyProtection="1">
      <alignment horizontal="center" vertical="center" wrapText="1"/>
      <protection hidden="1"/>
    </xf>
    <xf numFmtId="0" fontId="2" fillId="24" borderId="21" xfId="37" applyFont="1" applyFill="1" applyBorder="1" applyAlignment="1" applyProtection="1">
      <alignment horizontal="center" vertical="center" wrapText="1"/>
      <protection hidden="1"/>
    </xf>
    <xf numFmtId="178" fontId="10" fillId="25" borderId="12" xfId="37" applyNumberFormat="1" applyFont="1" applyFill="1" applyBorder="1"/>
    <xf numFmtId="176" fontId="10" fillId="25" borderId="12" xfId="37" applyNumberFormat="1" applyFont="1" applyFill="1" applyBorder="1" applyProtection="1">
      <protection hidden="1"/>
    </xf>
    <xf numFmtId="178" fontId="10" fillId="28" borderId="10" xfId="37" applyNumberFormat="1" applyFont="1" applyFill="1" applyBorder="1"/>
    <xf numFmtId="176" fontId="10" fillId="28" borderId="22" xfId="37" applyNumberFormat="1" applyFont="1" applyFill="1" applyBorder="1" applyAlignment="1" applyProtection="1">
      <alignment horizontal="center"/>
      <protection hidden="1"/>
    </xf>
    <xf numFmtId="178" fontId="10" fillId="25" borderId="13" xfId="37" applyNumberFormat="1" applyFont="1" applyFill="1" applyBorder="1" applyAlignment="1">
      <alignment horizontal="left"/>
    </xf>
    <xf numFmtId="0" fontId="10" fillId="0" borderId="10" xfId="37" applyFont="1" applyBorder="1"/>
    <xf numFmtId="176" fontId="11" fillId="26" borderId="16" xfId="37" applyNumberFormat="1" applyFont="1" applyFill="1" applyBorder="1" applyAlignment="1">
      <alignment horizontal="right"/>
    </xf>
    <xf numFmtId="176" fontId="11" fillId="26" borderId="11" xfId="37" applyNumberFormat="1" applyFont="1" applyFill="1" applyBorder="1" applyAlignment="1">
      <alignment horizontal="right"/>
    </xf>
    <xf numFmtId="176" fontId="11" fillId="26" borderId="21" xfId="37" applyNumberFormat="1" applyFont="1" applyFill="1" applyBorder="1" applyAlignment="1">
      <alignment horizontal="right"/>
    </xf>
    <xf numFmtId="0" fontId="18" fillId="0" borderId="0" xfId="37" applyFont="1"/>
    <xf numFmtId="178" fontId="10" fillId="0" borderId="0" xfId="37" applyNumberFormat="1" applyFont="1" applyProtection="1">
      <protection hidden="1"/>
    </xf>
    <xf numFmtId="178" fontId="10" fillId="0" borderId="0" xfId="37" applyNumberFormat="1" applyFont="1" applyAlignment="1" applyProtection="1">
      <alignment horizontal="center"/>
      <protection hidden="1"/>
    </xf>
    <xf numFmtId="176" fontId="10" fillId="25" borderId="14" xfId="37" applyNumberFormat="1" applyFont="1" applyFill="1" applyBorder="1" applyAlignment="1" applyProtection="1">
      <alignment horizontal="left"/>
      <protection hidden="1"/>
    </xf>
    <xf numFmtId="176" fontId="10" fillId="25" borderId="14" xfId="37" applyNumberFormat="1" applyFont="1" applyFill="1" applyBorder="1" applyAlignment="1" applyProtection="1">
      <alignment horizontal="center"/>
      <protection hidden="1"/>
    </xf>
    <xf numFmtId="178" fontId="4" fillId="26" borderId="10" xfId="37" applyNumberFormat="1" applyFill="1" applyBorder="1" applyProtection="1">
      <protection hidden="1"/>
    </xf>
    <xf numFmtId="176" fontId="10" fillId="28" borderId="10" xfId="37" applyNumberFormat="1" applyFont="1" applyFill="1" applyBorder="1" applyProtection="1">
      <protection hidden="1"/>
    </xf>
    <xf numFmtId="0" fontId="10" fillId="28" borderId="25" xfId="37" applyFont="1" applyFill="1" applyBorder="1" applyAlignment="1" applyProtection="1">
      <alignment horizontal="right"/>
      <protection hidden="1"/>
    </xf>
    <xf numFmtId="176" fontId="11" fillId="26" borderId="12" xfId="37" applyNumberFormat="1" applyFont="1" applyFill="1" applyBorder="1" applyAlignment="1">
      <alignment horizontal="right"/>
    </xf>
    <xf numFmtId="178" fontId="10" fillId="26" borderId="12" xfId="37" applyNumberFormat="1" applyFont="1" applyFill="1" applyBorder="1" applyAlignment="1" applyProtection="1">
      <alignment horizontal="right"/>
      <protection hidden="1"/>
    </xf>
    <xf numFmtId="178" fontId="10" fillId="26" borderId="12" xfId="37" applyNumberFormat="1" applyFont="1" applyFill="1" applyBorder="1" applyAlignment="1">
      <alignment horizontal="right"/>
    </xf>
    <xf numFmtId="0" fontId="10" fillId="29" borderId="10" xfId="37" applyFont="1" applyFill="1" applyBorder="1" applyProtection="1">
      <protection hidden="1"/>
    </xf>
    <xf numFmtId="0" fontId="10" fillId="29" borderId="20" xfId="37" applyFont="1" applyFill="1" applyBorder="1" applyProtection="1">
      <protection hidden="1"/>
    </xf>
    <xf numFmtId="0" fontId="10" fillId="29" borderId="21" xfId="37" applyFont="1" applyFill="1" applyBorder="1" applyProtection="1">
      <protection hidden="1"/>
    </xf>
    <xf numFmtId="0" fontId="10" fillId="29" borderId="11" xfId="37" applyFont="1" applyFill="1" applyBorder="1" applyProtection="1">
      <protection hidden="1"/>
    </xf>
    <xf numFmtId="0" fontId="17" fillId="0" borderId="0" xfId="37" applyFont="1" applyAlignment="1">
      <alignment horizontal="left" vertical="center"/>
    </xf>
    <xf numFmtId="0" fontId="8" fillId="27" borderId="27" xfId="0" applyFont="1" applyFill="1" applyBorder="1" applyAlignment="1">
      <alignment vertical="center"/>
    </xf>
    <xf numFmtId="0" fontId="12" fillId="27" borderId="28" xfId="37" applyFont="1" applyFill="1" applyBorder="1" applyProtection="1">
      <protection locked="0"/>
    </xf>
    <xf numFmtId="0" fontId="2" fillId="24" borderId="29" xfId="37" applyFont="1" applyFill="1" applyBorder="1" applyAlignment="1" applyProtection="1">
      <alignment horizontal="center" vertical="center" wrapText="1"/>
      <protection hidden="1"/>
    </xf>
    <xf numFmtId="0" fontId="17" fillId="25" borderId="30" xfId="37" applyFont="1" applyFill="1" applyBorder="1" applyAlignment="1">
      <alignment horizontal="left" vertical="center"/>
    </xf>
    <xf numFmtId="0" fontId="10" fillId="28" borderId="31" xfId="37" applyFont="1" applyFill="1" applyBorder="1" applyProtection="1">
      <protection hidden="1"/>
    </xf>
    <xf numFmtId="176" fontId="10" fillId="25" borderId="32" xfId="37" applyNumberFormat="1" applyFont="1" applyFill="1" applyBorder="1" applyAlignment="1" applyProtection="1">
      <alignment horizontal="left"/>
      <protection hidden="1"/>
    </xf>
    <xf numFmtId="0" fontId="10" fillId="29" borderId="33" xfId="37" applyFont="1" applyFill="1" applyBorder="1" applyProtection="1">
      <protection hidden="1"/>
    </xf>
    <xf numFmtId="0" fontId="10" fillId="29" borderId="34" xfId="37" applyFont="1" applyFill="1" applyBorder="1" applyProtection="1">
      <protection hidden="1"/>
    </xf>
    <xf numFmtId="0" fontId="17" fillId="25" borderId="32" xfId="37" applyFont="1" applyFill="1" applyBorder="1" applyAlignment="1">
      <alignment horizontal="left" vertical="center"/>
    </xf>
    <xf numFmtId="0" fontId="10" fillId="29" borderId="29" xfId="37" applyFont="1" applyFill="1" applyBorder="1" applyProtection="1">
      <protection hidden="1"/>
    </xf>
    <xf numFmtId="0" fontId="10" fillId="29" borderId="35" xfId="37" applyFont="1" applyFill="1" applyBorder="1" applyProtection="1">
      <protection hidden="1"/>
    </xf>
    <xf numFmtId="0" fontId="10" fillId="29" borderId="36" xfId="37" applyFont="1" applyFill="1" applyBorder="1" applyProtection="1">
      <protection hidden="1"/>
    </xf>
    <xf numFmtId="178" fontId="10" fillId="29" borderId="36" xfId="37" applyNumberFormat="1" applyFont="1" applyFill="1" applyBorder="1" applyProtection="1">
      <protection hidden="1"/>
    </xf>
    <xf numFmtId="178" fontId="10" fillId="26" borderId="37" xfId="37" applyNumberFormat="1" applyFont="1" applyFill="1" applyBorder="1" applyAlignment="1" applyProtection="1">
      <alignment horizontal="right"/>
      <protection hidden="1"/>
    </xf>
    <xf numFmtId="178" fontId="10" fillId="26" borderId="37" xfId="37" applyNumberFormat="1" applyFont="1" applyFill="1" applyBorder="1" applyAlignment="1">
      <alignment horizontal="right"/>
    </xf>
    <xf numFmtId="176" fontId="10" fillId="30" borderId="38" xfId="37" applyNumberFormat="1" applyFont="1" applyFill="1" applyBorder="1" applyAlignment="1" applyProtection="1">
      <alignment horizontal="center"/>
      <protection hidden="1"/>
    </xf>
    <xf numFmtId="0" fontId="10" fillId="28" borderId="25" xfId="37" applyFont="1" applyFill="1" applyBorder="1" applyProtection="1">
      <protection hidden="1"/>
    </xf>
    <xf numFmtId="176" fontId="10" fillId="26" borderId="22" xfId="37" applyNumberFormat="1" applyFont="1" applyFill="1" applyBorder="1" applyAlignment="1">
      <alignment horizontal="right"/>
    </xf>
    <xf numFmtId="0" fontId="12" fillId="27" borderId="23" xfId="37" applyFont="1" applyFill="1" applyBorder="1" applyProtection="1">
      <protection locked="0"/>
    </xf>
    <xf numFmtId="176" fontId="10" fillId="30" borderId="26" xfId="37" applyNumberFormat="1" applyFont="1" applyFill="1" applyBorder="1" applyAlignment="1" applyProtection="1">
      <alignment horizontal="center"/>
      <protection hidden="1"/>
    </xf>
    <xf numFmtId="0" fontId="4" fillId="25" borderId="14" xfId="37" applyFill="1" applyBorder="1"/>
    <xf numFmtId="176" fontId="4" fillId="27" borderId="23" xfId="37" applyNumberFormat="1" applyFill="1" applyBorder="1" applyAlignment="1">
      <alignment horizontal="center"/>
    </xf>
    <xf numFmtId="176" fontId="4" fillId="26" borderId="19" xfId="37" applyNumberFormat="1" applyFill="1" applyBorder="1" applyAlignment="1">
      <alignment horizontal="center"/>
    </xf>
    <xf numFmtId="176" fontId="4" fillId="26" borderId="24" xfId="37" applyNumberFormat="1" applyFill="1" applyBorder="1" applyAlignment="1">
      <alignment horizontal="center"/>
    </xf>
    <xf numFmtId="176" fontId="10" fillId="25" borderId="14" xfId="37" applyNumberFormat="1" applyFont="1" applyFill="1" applyBorder="1" applyProtection="1">
      <protection hidden="1"/>
    </xf>
    <xf numFmtId="176" fontId="10" fillId="25" borderId="10" xfId="37" applyNumberFormat="1" applyFont="1" applyFill="1" applyBorder="1" applyAlignment="1">
      <alignment horizontal="left"/>
    </xf>
    <xf numFmtId="0" fontId="17" fillId="25" borderId="10" xfId="37" applyFont="1" applyFill="1" applyBorder="1" applyAlignment="1">
      <alignment horizontal="left" vertical="center"/>
    </xf>
    <xf numFmtId="178" fontId="6" fillId="0" borderId="10" xfId="37" applyNumberFormat="1" applyFont="1" applyBorder="1"/>
    <xf numFmtId="0" fontId="4" fillId="29" borderId="10" xfId="37" applyFill="1" applyBorder="1" applyAlignment="1" applyProtection="1">
      <alignment horizontal="right"/>
      <protection hidden="1"/>
    </xf>
    <xf numFmtId="2" fontId="10" fillId="30" borderId="10" xfId="37" applyNumberFormat="1" applyFont="1" applyFill="1" applyBorder="1" applyProtection="1">
      <protection hidden="1"/>
    </xf>
    <xf numFmtId="2" fontId="10" fillId="25" borderId="13" xfId="37" applyNumberFormat="1" applyFont="1" applyFill="1" applyBorder="1" applyAlignment="1">
      <alignment horizontal="left"/>
    </xf>
    <xf numFmtId="2" fontId="17" fillId="25" borderId="12" xfId="37" applyNumberFormat="1" applyFont="1" applyFill="1" applyBorder="1" applyAlignment="1">
      <alignment horizontal="left" vertical="center"/>
    </xf>
    <xf numFmtId="2" fontId="10" fillId="30" borderId="39" xfId="37" applyNumberFormat="1" applyFont="1" applyFill="1" applyBorder="1" applyProtection="1">
      <protection hidden="1"/>
    </xf>
    <xf numFmtId="2" fontId="10" fillId="25" borderId="12" xfId="37" applyNumberFormat="1" applyFont="1" applyFill="1" applyBorder="1" applyAlignment="1" applyProtection="1">
      <alignment horizontal="left"/>
      <protection hidden="1"/>
    </xf>
    <xf numFmtId="2" fontId="10" fillId="30" borderId="24" xfId="37" applyNumberFormat="1" applyFont="1" applyFill="1" applyBorder="1" applyAlignment="1" applyProtection="1">
      <alignment horizontal="center"/>
      <protection hidden="1"/>
    </xf>
    <xf numFmtId="2" fontId="10" fillId="30" borderId="26" xfId="37" applyNumberFormat="1" applyFont="1" applyFill="1" applyBorder="1" applyAlignment="1" applyProtection="1">
      <alignment horizontal="center"/>
      <protection hidden="1"/>
    </xf>
    <xf numFmtId="2" fontId="10" fillId="30" borderId="40" xfId="37" applyNumberFormat="1" applyFont="1" applyFill="1" applyBorder="1" applyAlignment="1" applyProtection="1">
      <alignment horizontal="center"/>
      <protection hidden="1"/>
    </xf>
    <xf numFmtId="2" fontId="10" fillId="30" borderId="41" xfId="37" applyNumberFormat="1" applyFont="1" applyFill="1" applyBorder="1" applyAlignment="1" applyProtection="1">
      <alignment horizontal="center"/>
      <protection hidden="1"/>
    </xf>
    <xf numFmtId="0" fontId="21" fillId="0" borderId="0" xfId="0" applyFont="1"/>
    <xf numFmtId="176" fontId="21" fillId="25" borderId="12" xfId="37" applyNumberFormat="1" applyFont="1" applyFill="1" applyBorder="1"/>
    <xf numFmtId="0" fontId="21" fillId="28" borderId="10" xfId="37" applyFont="1" applyFill="1" applyBorder="1"/>
    <xf numFmtId="176" fontId="21" fillId="25" borderId="13" xfId="37" applyNumberFormat="1" applyFont="1" applyFill="1" applyBorder="1" applyAlignment="1">
      <alignment horizontal="left"/>
    </xf>
    <xf numFmtId="178" fontId="21" fillId="28" borderId="20" xfId="37" applyNumberFormat="1" applyFont="1" applyFill="1" applyBorder="1"/>
    <xf numFmtId="176" fontId="22" fillId="25" borderId="12" xfId="37" applyNumberFormat="1" applyFont="1" applyFill="1" applyBorder="1"/>
    <xf numFmtId="0" fontId="22" fillId="28" borderId="10" xfId="37" applyFont="1" applyFill="1" applyBorder="1"/>
    <xf numFmtId="176" fontId="22" fillId="25" borderId="13" xfId="37" applyNumberFormat="1" applyFont="1" applyFill="1" applyBorder="1" applyAlignment="1">
      <alignment horizontal="left"/>
    </xf>
    <xf numFmtId="178" fontId="23" fillId="25" borderId="15" xfId="37" applyNumberFormat="1" applyFont="1" applyFill="1" applyBorder="1" applyAlignment="1">
      <alignment horizontal="left" vertical="center"/>
    </xf>
    <xf numFmtId="178" fontId="24" fillId="28" borderId="20" xfId="37" applyNumberFormat="1" applyFont="1" applyFill="1" applyBorder="1"/>
    <xf numFmtId="0" fontId="16" fillId="28" borderId="15" xfId="0" applyFont="1" applyFill="1" applyBorder="1" applyAlignment="1" applyProtection="1">
      <alignment horizontal="center" vertical="center"/>
      <protection locked="0"/>
    </xf>
    <xf numFmtId="0" fontId="4" fillId="28" borderId="15" xfId="0" applyFont="1" applyFill="1" applyBorder="1" applyAlignment="1">
      <alignment horizontal="center" vertical="center"/>
    </xf>
    <xf numFmtId="0" fontId="16" fillId="28" borderId="15" xfId="0" applyFont="1" applyFill="1" applyBorder="1" applyAlignment="1">
      <alignment horizontal="center" vertical="center"/>
    </xf>
    <xf numFmtId="0" fontId="1" fillId="0" borderId="10" xfId="0" applyFont="1" applyBorder="1"/>
    <xf numFmtId="0" fontId="4" fillId="0" borderId="10" xfId="0" applyFont="1" applyBorder="1"/>
    <xf numFmtId="176" fontId="25" fillId="25" borderId="10" xfId="37" applyNumberFormat="1" applyFont="1" applyFill="1" applyBorder="1" applyAlignment="1">
      <alignment horizontal="left"/>
    </xf>
    <xf numFmtId="0" fontId="26" fillId="0" borderId="10" xfId="0" applyFont="1" applyBorder="1"/>
    <xf numFmtId="0" fontId="27" fillId="25" borderId="10" xfId="37" applyFont="1" applyFill="1" applyBorder="1" applyAlignment="1">
      <alignment horizontal="left" vertical="center"/>
    </xf>
    <xf numFmtId="0" fontId="28" fillId="0" borderId="10" xfId="0" applyFont="1" applyBorder="1"/>
    <xf numFmtId="178" fontId="10" fillId="0" borderId="11" xfId="37" applyNumberFormat="1" applyFont="1" applyBorder="1"/>
    <xf numFmtId="178" fontId="10" fillId="0" borderId="36" xfId="37" applyNumberFormat="1" applyFont="1" applyBorder="1"/>
    <xf numFmtId="0" fontId="2" fillId="25" borderId="10" xfId="37" applyFont="1" applyFill="1" applyBorder="1" applyAlignment="1">
      <alignment horizontal="left" vertical="center"/>
    </xf>
    <xf numFmtId="178" fontId="4" fillId="26" borderId="26" xfId="37" applyNumberFormat="1" applyFill="1" applyBorder="1" applyProtection="1">
      <protection hidden="1"/>
    </xf>
    <xf numFmtId="176" fontId="10" fillId="30" borderId="36" xfId="37" applyNumberFormat="1" applyFont="1" applyFill="1" applyBorder="1" applyAlignment="1" applyProtection="1">
      <alignment horizontal="center"/>
      <protection hidden="1"/>
    </xf>
    <xf numFmtId="178" fontId="10" fillId="0" borderId="39" xfId="37" applyNumberFormat="1" applyFont="1" applyBorder="1"/>
    <xf numFmtId="0" fontId="28" fillId="0" borderId="39" xfId="0" applyFont="1" applyBorder="1"/>
    <xf numFmtId="0" fontId="4" fillId="0" borderId="39" xfId="0" applyFont="1" applyBorder="1"/>
    <xf numFmtId="178" fontId="10" fillId="30" borderId="39" xfId="37" applyNumberFormat="1" applyFont="1" applyFill="1" applyBorder="1" applyProtection="1">
      <protection hidden="1"/>
    </xf>
    <xf numFmtId="2" fontId="10" fillId="28" borderId="22" xfId="37" applyNumberFormat="1" applyFont="1" applyFill="1" applyBorder="1" applyProtection="1">
      <protection hidden="1"/>
    </xf>
    <xf numFmtId="0" fontId="10" fillId="0" borderId="11" xfId="37" applyFont="1" applyBorder="1"/>
    <xf numFmtId="178" fontId="10" fillId="30" borderId="14" xfId="37" applyNumberFormat="1" applyFont="1" applyFill="1" applyBorder="1" applyProtection="1">
      <protection hidden="1"/>
    </xf>
    <xf numFmtId="176" fontId="10" fillId="25" borderId="13" xfId="37" applyNumberFormat="1" applyFont="1" applyFill="1" applyBorder="1" applyAlignment="1" applyProtection="1">
      <alignment horizontal="left"/>
      <protection hidden="1"/>
    </xf>
    <xf numFmtId="0" fontId="2" fillId="24" borderId="25" xfId="37" applyFont="1" applyFill="1" applyBorder="1" applyAlignment="1" applyProtection="1">
      <alignment horizontal="center" vertical="center" wrapText="1"/>
      <protection hidden="1"/>
    </xf>
    <xf numFmtId="0" fontId="2" fillId="24" borderId="26" xfId="37" applyFont="1" applyFill="1" applyBorder="1" applyAlignment="1" applyProtection="1">
      <alignment horizontal="center" vertical="center" wrapText="1"/>
      <protection hidden="1"/>
    </xf>
    <xf numFmtId="178" fontId="10" fillId="25" borderId="0" xfId="37" applyNumberFormat="1" applyFont="1" applyFill="1" applyAlignment="1">
      <alignment horizontal="left"/>
    </xf>
    <xf numFmtId="178" fontId="10" fillId="0" borderId="26" xfId="37" applyNumberFormat="1" applyFont="1" applyBorder="1" applyProtection="1">
      <protection locked="0"/>
    </xf>
    <xf numFmtId="0" fontId="25" fillId="32" borderId="10" xfId="37" applyFont="1" applyFill="1" applyBorder="1" applyProtection="1">
      <protection locked="0"/>
    </xf>
    <xf numFmtId="178" fontId="25" fillId="0" borderId="10" xfId="37" applyNumberFormat="1" applyFont="1" applyBorder="1"/>
    <xf numFmtId="178" fontId="25" fillId="26" borderId="10" xfId="37" applyNumberFormat="1" applyFont="1" applyFill="1" applyBorder="1" applyAlignment="1" applyProtection="1">
      <alignment horizontal="right"/>
      <protection hidden="1"/>
    </xf>
    <xf numFmtId="178" fontId="25" fillId="26" borderId="10" xfId="37" applyNumberFormat="1" applyFont="1" applyFill="1" applyBorder="1" applyAlignment="1">
      <alignment horizontal="right"/>
    </xf>
    <xf numFmtId="178" fontId="25" fillId="0" borderId="10" xfId="37" applyNumberFormat="1" applyFont="1" applyBorder="1" applyProtection="1">
      <protection locked="0"/>
    </xf>
    <xf numFmtId="178" fontId="25" fillId="25" borderId="10" xfId="37" applyNumberFormat="1" applyFont="1" applyFill="1" applyBorder="1" applyAlignment="1">
      <alignment horizontal="left"/>
    </xf>
    <xf numFmtId="178" fontId="25" fillId="25" borderId="10" xfId="37" applyNumberFormat="1" applyFont="1" applyFill="1" applyBorder="1" applyAlignment="1" applyProtection="1">
      <alignment horizontal="right"/>
      <protection hidden="1"/>
    </xf>
    <xf numFmtId="178" fontId="25" fillId="25" borderId="10" xfId="37" applyNumberFormat="1" applyFont="1" applyFill="1" applyBorder="1" applyAlignment="1" applyProtection="1">
      <alignment horizontal="left"/>
      <protection hidden="1"/>
    </xf>
    <xf numFmtId="0" fontId="25" fillId="0" borderId="10" xfId="37" applyFont="1" applyBorder="1"/>
    <xf numFmtId="0" fontId="26" fillId="0" borderId="11" xfId="0" applyFont="1" applyBorder="1"/>
    <xf numFmtId="178" fontId="10" fillId="0" borderId="14" xfId="37" applyNumberFormat="1" applyFont="1" applyBorder="1" applyProtection="1">
      <protection locked="0"/>
    </xf>
    <xf numFmtId="178" fontId="25" fillId="0" borderId="14" xfId="37" applyNumberFormat="1" applyFont="1" applyBorder="1" applyProtection="1">
      <protection locked="0"/>
    </xf>
    <xf numFmtId="178" fontId="10" fillId="0" borderId="24" xfId="37" applyNumberFormat="1" applyFont="1" applyBorder="1" applyProtection="1">
      <protection locked="0"/>
    </xf>
    <xf numFmtId="0" fontId="26" fillId="0" borderId="14" xfId="0" applyFont="1" applyBorder="1"/>
    <xf numFmtId="176" fontId="10" fillId="30" borderId="10" xfId="37" applyNumberFormat="1" applyFont="1" applyFill="1" applyBorder="1" applyAlignment="1" applyProtection="1">
      <alignment horizontal="center"/>
      <protection hidden="1"/>
    </xf>
    <xf numFmtId="176" fontId="10" fillId="25" borderId="10" xfId="37" applyNumberFormat="1" applyFont="1" applyFill="1" applyBorder="1" applyAlignment="1" applyProtection="1">
      <alignment horizontal="left"/>
      <protection hidden="1"/>
    </xf>
    <xf numFmtId="176" fontId="10" fillId="25" borderId="10" xfId="37" applyNumberFormat="1" applyFont="1" applyFill="1" applyBorder="1" applyAlignment="1" applyProtection="1">
      <alignment horizontal="center"/>
      <protection hidden="1"/>
    </xf>
    <xf numFmtId="176" fontId="10" fillId="25" borderId="10" xfId="37" applyNumberFormat="1" applyFont="1" applyFill="1" applyBorder="1" applyProtection="1">
      <protection hidden="1"/>
    </xf>
    <xf numFmtId="0" fontId="4" fillId="26" borderId="12" xfId="37" applyFill="1" applyBorder="1" applyAlignment="1" applyProtection="1">
      <alignment horizontal="left"/>
      <protection hidden="1"/>
    </xf>
    <xf numFmtId="0" fontId="0" fillId="0" borderId="0" xfId="0" applyAlignment="1">
      <alignment vertical="center"/>
    </xf>
    <xf numFmtId="0" fontId="7" fillId="25" borderId="10" xfId="37" applyFont="1" applyFill="1" applyBorder="1" applyAlignment="1">
      <alignment horizontal="left" vertical="center"/>
    </xf>
    <xf numFmtId="178" fontId="7" fillId="25" borderId="10" xfId="37" applyNumberFormat="1" applyFont="1" applyFill="1" applyBorder="1" applyAlignment="1">
      <alignment horizontal="left" vertical="center"/>
    </xf>
    <xf numFmtId="178" fontId="6" fillId="25" borderId="10" xfId="37" applyNumberFormat="1" applyFont="1" applyFill="1" applyBorder="1" applyAlignment="1">
      <alignment horizontal="left"/>
    </xf>
    <xf numFmtId="178" fontId="10" fillId="26" borderId="11" xfId="37" applyNumberFormat="1" applyFont="1" applyFill="1" applyBorder="1" applyAlignment="1">
      <alignment horizontal="right"/>
    </xf>
    <xf numFmtId="178" fontId="10" fillId="25" borderId="10" xfId="37" applyNumberFormat="1" applyFont="1" applyFill="1" applyBorder="1" applyAlignment="1">
      <alignment horizontal="left"/>
    </xf>
    <xf numFmtId="178" fontId="10" fillId="31" borderId="10" xfId="37" applyNumberFormat="1" applyFont="1" applyFill="1" applyBorder="1" applyAlignment="1" applyProtection="1">
      <alignment horizontal="right"/>
      <protection hidden="1"/>
    </xf>
    <xf numFmtId="0" fontId="10" fillId="28" borderId="22" xfId="37" applyFont="1" applyFill="1" applyBorder="1" applyProtection="1">
      <protection hidden="1"/>
    </xf>
    <xf numFmtId="0" fontId="5" fillId="24" borderId="11" xfId="37" applyFont="1" applyFill="1" applyBorder="1" applyAlignment="1" applyProtection="1">
      <alignment horizontal="center" vertical="center" wrapText="1"/>
      <protection hidden="1"/>
    </xf>
    <xf numFmtId="0" fontId="4" fillId="28" borderId="11" xfId="37" applyFill="1" applyBorder="1" applyProtection="1">
      <protection hidden="1"/>
    </xf>
    <xf numFmtId="0" fontId="4" fillId="29" borderId="11" xfId="37" applyFill="1" applyBorder="1" applyProtection="1">
      <protection hidden="1"/>
    </xf>
    <xf numFmtId="176" fontId="5" fillId="24" borderId="14" xfId="37" applyNumberFormat="1" applyFont="1" applyFill="1" applyBorder="1" applyAlignment="1" applyProtection="1">
      <alignment horizontal="center" vertical="center" wrapText="1"/>
      <protection hidden="1"/>
    </xf>
    <xf numFmtId="0" fontId="4" fillId="28" borderId="14" xfId="37" applyFill="1" applyBorder="1" applyProtection="1">
      <protection hidden="1"/>
    </xf>
    <xf numFmtId="0" fontId="8" fillId="25" borderId="13" xfId="37" applyFont="1" applyFill="1" applyBorder="1" applyAlignment="1" applyProtection="1">
      <alignment horizontal="right" vertical="center"/>
      <protection hidden="1"/>
    </xf>
    <xf numFmtId="0" fontId="8" fillId="25" borderId="13" xfId="37" applyFont="1" applyFill="1" applyBorder="1" applyAlignment="1" applyProtection="1">
      <alignment horizontal="left" vertical="center"/>
      <protection hidden="1"/>
    </xf>
    <xf numFmtId="0" fontId="16" fillId="28" borderId="10" xfId="0" applyFont="1" applyFill="1" applyBorder="1" applyAlignment="1">
      <alignment horizontal="center" vertical="center"/>
    </xf>
    <xf numFmtId="178" fontId="4" fillId="26" borderId="0" xfId="37" applyNumberFormat="1" applyFill="1" applyAlignment="1">
      <alignment horizontal="right"/>
    </xf>
    <xf numFmtId="2" fontId="4" fillId="26" borderId="0" xfId="37" applyNumberFormat="1" applyFill="1" applyAlignment="1">
      <alignment horizontal="center"/>
    </xf>
    <xf numFmtId="176" fontId="4" fillId="26" borderId="0" xfId="37" applyNumberFormat="1" applyFill="1" applyAlignment="1">
      <alignment horizontal="center"/>
    </xf>
    <xf numFmtId="176" fontId="4" fillId="26" borderId="23" xfId="37" applyNumberFormat="1" applyFill="1" applyBorder="1" applyAlignment="1">
      <alignment horizontal="center"/>
    </xf>
    <xf numFmtId="176" fontId="11" fillId="26" borderId="10" xfId="37" applyNumberFormat="1" applyFont="1" applyFill="1" applyBorder="1" applyAlignment="1">
      <alignment horizontal="right"/>
    </xf>
    <xf numFmtId="0" fontId="5" fillId="33" borderId="0" xfId="0" applyFont="1" applyFill="1"/>
    <xf numFmtId="0" fontId="0" fillId="33" borderId="0" xfId="0" applyFill="1"/>
    <xf numFmtId="0" fontId="5" fillId="34" borderId="0" xfId="0" applyFont="1" applyFill="1"/>
    <xf numFmtId="0" fontId="0" fillId="34" borderId="0" xfId="0" applyFill="1"/>
    <xf numFmtId="0" fontId="0" fillId="35" borderId="0" xfId="0" applyFill="1"/>
    <xf numFmtId="0" fontId="0" fillId="36" borderId="0" xfId="0" applyFill="1"/>
    <xf numFmtId="0" fontId="0" fillId="37" borderId="0" xfId="0" applyFill="1"/>
    <xf numFmtId="0" fontId="10" fillId="28" borderId="10" xfId="37" applyFont="1" applyFill="1" applyBorder="1" applyAlignment="1" applyProtection="1">
      <alignment horizontal="right"/>
      <protection hidden="1"/>
    </xf>
    <xf numFmtId="178" fontId="10" fillId="29" borderId="26" xfId="37" applyNumberFormat="1" applyFont="1" applyFill="1" applyBorder="1" applyProtection="1">
      <protection hidden="1"/>
    </xf>
    <xf numFmtId="178" fontId="10" fillId="0" borderId="0" xfId="37" applyNumberFormat="1" applyFont="1" applyProtection="1">
      <protection locked="0"/>
    </xf>
    <xf numFmtId="178" fontId="25" fillId="0" borderId="20" xfId="37" applyNumberFormat="1" applyFont="1" applyBorder="1" applyProtection="1">
      <protection locked="0"/>
    </xf>
    <xf numFmtId="178" fontId="10" fillId="30" borderId="19" xfId="37" applyNumberFormat="1" applyFont="1" applyFill="1" applyBorder="1" applyProtection="1">
      <protection hidden="1"/>
    </xf>
    <xf numFmtId="0" fontId="10" fillId="28" borderId="26" xfId="37" applyFont="1" applyFill="1" applyBorder="1"/>
    <xf numFmtId="0" fontId="10" fillId="28" borderId="26" xfId="37" applyFont="1" applyFill="1" applyBorder="1" applyProtection="1">
      <protection hidden="1"/>
    </xf>
    <xf numFmtId="176" fontId="10" fillId="28" borderId="26" xfId="37" applyNumberFormat="1" applyFont="1" applyFill="1" applyBorder="1" applyProtection="1">
      <protection hidden="1"/>
    </xf>
    <xf numFmtId="0" fontId="10" fillId="0" borderId="0" xfId="37" applyFont="1" applyProtection="1">
      <protection hidden="1"/>
    </xf>
    <xf numFmtId="176" fontId="10" fillId="25" borderId="15" xfId="37" applyNumberFormat="1" applyFont="1" applyFill="1" applyBorder="1" applyAlignment="1" applyProtection="1">
      <alignment horizontal="left"/>
      <protection hidden="1"/>
    </xf>
    <xf numFmtId="176" fontId="10" fillId="0" borderId="0" xfId="37" applyNumberFormat="1" applyFont="1" applyAlignment="1" applyProtection="1">
      <alignment horizontal="center"/>
      <protection hidden="1"/>
    </xf>
    <xf numFmtId="176" fontId="10" fillId="0" borderId="0" xfId="37" applyNumberFormat="1" applyFont="1" applyAlignment="1">
      <alignment horizontal="right"/>
    </xf>
    <xf numFmtId="0" fontId="4" fillId="0" borderId="0" xfId="0" applyFont="1"/>
    <xf numFmtId="178" fontId="10" fillId="0" borderId="0" xfId="37" applyNumberFormat="1" applyFont="1" applyAlignment="1" applyProtection="1">
      <alignment horizontal="right"/>
      <protection hidden="1"/>
    </xf>
    <xf numFmtId="178" fontId="10" fillId="0" borderId="0" xfId="37" applyNumberFormat="1" applyFont="1" applyAlignment="1">
      <alignment horizontal="right"/>
    </xf>
    <xf numFmtId="0" fontId="10" fillId="25" borderId="15" xfId="37" applyFont="1" applyFill="1" applyBorder="1" applyAlignment="1" applyProtection="1">
      <alignment horizontal="left"/>
      <protection hidden="1"/>
    </xf>
    <xf numFmtId="0" fontId="4" fillId="0" borderId="0" xfId="37" applyAlignment="1">
      <alignment vertical="center"/>
    </xf>
    <xf numFmtId="0" fontId="4" fillId="0" borderId="0" xfId="37" applyAlignment="1">
      <alignment vertical="top"/>
    </xf>
    <xf numFmtId="178" fontId="10" fillId="30" borderId="10" xfId="37" applyNumberFormat="1" applyFont="1" applyFill="1" applyBorder="1" applyAlignment="1" applyProtection="1">
      <alignment horizontal="center"/>
      <protection hidden="1"/>
    </xf>
    <xf numFmtId="176" fontId="2" fillId="24" borderId="14" xfId="37" applyNumberFormat="1" applyFont="1" applyFill="1" applyBorder="1" applyAlignment="1" applyProtection="1">
      <alignment horizontal="center" vertical="center" wrapText="1"/>
      <protection hidden="1"/>
    </xf>
    <xf numFmtId="176" fontId="10" fillId="28" borderId="14" xfId="37" applyNumberFormat="1" applyFont="1" applyFill="1" applyBorder="1" applyProtection="1">
      <protection hidden="1"/>
    </xf>
    <xf numFmtId="176" fontId="10" fillId="28" borderId="16" xfId="37" applyNumberFormat="1" applyFont="1" applyFill="1" applyBorder="1" applyAlignment="1" applyProtection="1">
      <alignment horizontal="center"/>
      <protection hidden="1"/>
    </xf>
    <xf numFmtId="176" fontId="10" fillId="28" borderId="26" xfId="37" applyNumberFormat="1" applyFont="1" applyFill="1" applyBorder="1" applyAlignment="1" applyProtection="1">
      <alignment horizontal="center"/>
      <protection hidden="1"/>
    </xf>
    <xf numFmtId="0" fontId="1" fillId="0" borderId="11" xfId="0" applyFont="1" applyBorder="1"/>
    <xf numFmtId="0" fontId="1" fillId="0" borderId="14" xfId="0" applyFont="1" applyBorder="1"/>
    <xf numFmtId="0" fontId="17" fillId="25" borderId="0" xfId="37" applyFont="1" applyFill="1" applyAlignment="1" applyProtection="1">
      <alignment horizontal="left" vertical="center"/>
      <protection hidden="1"/>
    </xf>
    <xf numFmtId="0" fontId="17" fillId="25" borderId="0" xfId="37" applyFont="1" applyFill="1" applyAlignment="1">
      <alignment horizontal="left" vertical="center"/>
    </xf>
    <xf numFmtId="0" fontId="0" fillId="0" borderId="0" xfId="0" applyAlignment="1">
      <alignment wrapText="1"/>
    </xf>
    <xf numFmtId="0" fontId="29" fillId="0" borderId="0" xfId="37" applyFont="1"/>
    <xf numFmtId="0" fontId="12" fillId="26" borderId="13" xfId="37" applyFont="1" applyFill="1" applyBorder="1"/>
    <xf numFmtId="0" fontId="12" fillId="26" borderId="0" xfId="37" applyFont="1" applyFill="1"/>
    <xf numFmtId="0" fontId="31" fillId="0" borderId="0" xfId="37" applyFont="1"/>
    <xf numFmtId="0" fontId="31" fillId="0" borderId="0" xfId="0" applyFont="1"/>
    <xf numFmtId="176" fontId="30" fillId="24" borderId="10" xfId="37" applyNumberFormat="1" applyFont="1" applyFill="1" applyBorder="1" applyAlignment="1" applyProtection="1">
      <alignment horizontal="center" vertical="center" wrapText="1"/>
      <protection hidden="1"/>
    </xf>
    <xf numFmtId="0" fontId="32" fillId="0" borderId="0" xfId="0" applyFont="1"/>
    <xf numFmtId="0" fontId="32" fillId="0" borderId="0" xfId="37" applyFont="1"/>
    <xf numFmtId="0" fontId="4" fillId="25" borderId="12" xfId="37" applyFill="1" applyBorder="1" applyAlignment="1">
      <alignment horizontal="center"/>
    </xf>
    <xf numFmtId="178" fontId="4" fillId="26" borderId="13" xfId="37" applyNumberFormat="1" applyFill="1" applyBorder="1" applyAlignment="1">
      <alignment horizontal="center"/>
    </xf>
    <xf numFmtId="178" fontId="4" fillId="26" borderId="0" xfId="37" applyNumberFormat="1" applyFill="1" applyAlignment="1">
      <alignment horizontal="center"/>
    </xf>
    <xf numFmtId="178" fontId="4" fillId="26" borderId="15" xfId="37" applyNumberFormat="1" applyFill="1" applyBorder="1" applyAlignment="1">
      <alignment horizontal="center"/>
    </xf>
    <xf numFmtId="176" fontId="10" fillId="0" borderId="0" xfId="37" applyNumberFormat="1" applyFont="1" applyAlignment="1">
      <alignment horizontal="center"/>
    </xf>
    <xf numFmtId="0" fontId="0" fillId="33" borderId="0" xfId="0" applyFill="1" applyAlignment="1">
      <alignment horizontal="center"/>
    </xf>
    <xf numFmtId="0" fontId="0" fillId="34" borderId="0" xfId="0" applyFill="1" applyAlignment="1">
      <alignment horizontal="center"/>
    </xf>
    <xf numFmtId="0" fontId="4" fillId="0" borderId="17" xfId="37" applyBorder="1" applyAlignment="1">
      <alignment horizontal="center"/>
    </xf>
    <xf numFmtId="0" fontId="12" fillId="27" borderId="0" xfId="37" applyFont="1" applyFill="1" applyAlignment="1" applyProtection="1">
      <alignment horizontal="center"/>
      <protection locked="0"/>
    </xf>
    <xf numFmtId="176" fontId="10" fillId="25" borderId="12" xfId="37" applyNumberFormat="1" applyFont="1" applyFill="1" applyBorder="1" applyAlignment="1">
      <alignment horizontal="center"/>
    </xf>
    <xf numFmtId="0" fontId="17" fillId="25" borderId="12" xfId="37" applyFont="1" applyFill="1" applyBorder="1" applyAlignment="1">
      <alignment horizontal="center" vertical="center"/>
    </xf>
    <xf numFmtId="0" fontId="0" fillId="0" borderId="0" xfId="0" applyAlignment="1">
      <alignment vertical="top" wrapText="1"/>
    </xf>
    <xf numFmtId="178" fontId="25" fillId="25" borderId="12" xfId="37" applyNumberFormat="1" applyFont="1" applyFill="1" applyBorder="1" applyAlignment="1">
      <alignment horizontal="left"/>
    </xf>
    <xf numFmtId="0" fontId="17" fillId="25" borderId="14" xfId="37" applyFont="1" applyFill="1" applyBorder="1" applyAlignment="1" applyProtection="1">
      <alignment horizontal="left" vertical="center"/>
      <protection hidden="1"/>
    </xf>
    <xf numFmtId="176" fontId="10" fillId="26" borderId="10" xfId="37" applyNumberFormat="1" applyFont="1" applyFill="1" applyBorder="1" applyAlignment="1">
      <alignment horizontal="right"/>
    </xf>
    <xf numFmtId="176" fontId="10" fillId="25" borderId="11" xfId="37" applyNumberFormat="1" applyFont="1" applyFill="1" applyBorder="1" applyProtection="1">
      <protection hidden="1"/>
    </xf>
    <xf numFmtId="0" fontId="17" fillId="25" borderId="14" xfId="37" applyFont="1" applyFill="1" applyBorder="1" applyAlignment="1">
      <alignment horizontal="left" vertical="center"/>
    </xf>
    <xf numFmtId="2" fontId="4" fillId="0" borderId="10" xfId="0" applyNumberFormat="1" applyFont="1" applyBorder="1"/>
    <xf numFmtId="2" fontId="23" fillId="25" borderId="15" xfId="37" applyNumberFormat="1" applyFont="1" applyFill="1" applyBorder="1" applyAlignment="1">
      <alignment horizontal="left" vertical="center"/>
    </xf>
    <xf numFmtId="2" fontId="24" fillId="28" borderId="20" xfId="37" applyNumberFormat="1" applyFont="1" applyFill="1" applyBorder="1"/>
    <xf numFmtId="0" fontId="4" fillId="26" borderId="16" xfId="37" applyFill="1" applyBorder="1" applyProtection="1">
      <protection hidden="1"/>
    </xf>
    <xf numFmtId="0" fontId="9" fillId="27" borderId="11" xfId="0" applyFont="1" applyFill="1" applyBorder="1" applyAlignment="1">
      <alignment vertical="center"/>
    </xf>
    <xf numFmtId="0" fontId="9" fillId="27" borderId="12" xfId="0" applyFont="1" applyFill="1" applyBorder="1" applyAlignment="1">
      <alignment vertical="center"/>
    </xf>
    <xf numFmtId="0" fontId="9" fillId="27" borderId="12" xfId="0" applyFont="1" applyFill="1" applyBorder="1" applyAlignment="1" applyProtection="1">
      <alignment vertical="center"/>
      <protection hidden="1"/>
    </xf>
    <xf numFmtId="0" fontId="0" fillId="0" borderId="12" xfId="0" applyBorder="1" applyProtection="1">
      <protection hidden="1"/>
    </xf>
    <xf numFmtId="176" fontId="10" fillId="0" borderId="12" xfId="37" applyNumberFormat="1" applyFont="1" applyBorder="1"/>
    <xf numFmtId="0" fontId="10" fillId="0" borderId="12" xfId="37" applyFont="1" applyBorder="1"/>
    <xf numFmtId="0" fontId="10" fillId="0" borderId="14" xfId="37" applyFont="1" applyBorder="1"/>
    <xf numFmtId="0" fontId="15" fillId="27" borderId="16" xfId="0" applyFont="1" applyFill="1" applyBorder="1" applyAlignment="1">
      <alignment vertical="center"/>
    </xf>
    <xf numFmtId="176" fontId="10" fillId="27" borderId="15" xfId="37" applyNumberFormat="1" applyFont="1" applyFill="1" applyBorder="1"/>
    <xf numFmtId="176" fontId="10" fillId="27" borderId="15" xfId="37" applyNumberFormat="1" applyFont="1" applyFill="1" applyBorder="1" applyAlignment="1">
      <alignment horizontal="center"/>
    </xf>
    <xf numFmtId="0" fontId="10" fillId="27" borderId="15" xfId="37" applyFont="1" applyFill="1" applyBorder="1"/>
    <xf numFmtId="0" fontId="10" fillId="27" borderId="24" xfId="37" applyFont="1" applyFill="1" applyBorder="1"/>
    <xf numFmtId="0" fontId="0" fillId="0" borderId="12" xfId="0" applyBorder="1" applyAlignment="1">
      <alignment vertical="center"/>
    </xf>
    <xf numFmtId="0" fontId="10" fillId="27" borderId="0" xfId="37" applyFont="1" applyFill="1"/>
    <xf numFmtId="0" fontId="10" fillId="27" borderId="23" xfId="37" applyFont="1" applyFill="1" applyBorder="1"/>
    <xf numFmtId="0" fontId="4" fillId="0" borderId="13" xfId="37" applyBorder="1"/>
    <xf numFmtId="0" fontId="4" fillId="0" borderId="19" xfId="37" applyBorder="1"/>
    <xf numFmtId="0" fontId="8" fillId="27" borderId="16" xfId="0" applyFont="1" applyFill="1" applyBorder="1" applyAlignment="1">
      <alignment vertical="center"/>
    </xf>
    <xf numFmtId="0" fontId="17" fillId="25" borderId="11" xfId="37" applyFont="1" applyFill="1" applyBorder="1" applyAlignment="1">
      <alignment horizontal="left" vertical="center"/>
    </xf>
    <xf numFmtId="176" fontId="10" fillId="0" borderId="0" xfId="37" applyNumberFormat="1" applyFont="1" applyAlignment="1" applyProtection="1">
      <alignment horizontal="left"/>
      <protection hidden="1"/>
    </xf>
    <xf numFmtId="176" fontId="2" fillId="24" borderId="26" xfId="37" applyNumberFormat="1" applyFont="1" applyFill="1" applyBorder="1" applyAlignment="1" applyProtection="1">
      <alignment horizontal="center" vertical="center" wrapText="1"/>
      <protection hidden="1"/>
    </xf>
    <xf numFmtId="0" fontId="2" fillId="24" borderId="24" xfId="37" applyFont="1" applyFill="1" applyBorder="1" applyAlignment="1" applyProtection="1">
      <alignment horizontal="center" vertical="center" wrapText="1"/>
      <protection hidden="1"/>
    </xf>
    <xf numFmtId="176" fontId="2" fillId="24" borderId="23" xfId="37" applyNumberFormat="1" applyFont="1" applyFill="1" applyBorder="1" applyAlignment="1" applyProtection="1">
      <alignment horizontal="center" vertical="center" wrapText="1"/>
      <protection hidden="1"/>
    </xf>
    <xf numFmtId="176" fontId="2" fillId="24" borderId="16" xfId="37" applyNumberFormat="1" applyFont="1" applyFill="1" applyBorder="1" applyAlignment="1" applyProtection="1">
      <alignment horizontal="center" vertical="center" wrapText="1"/>
      <protection hidden="1"/>
    </xf>
    <xf numFmtId="0" fontId="12" fillId="27" borderId="15" xfId="0" applyFont="1" applyFill="1" applyBorder="1" applyAlignment="1" applyProtection="1">
      <alignment vertical="center"/>
      <protection locked="0"/>
    </xf>
    <xf numFmtId="0" fontId="3" fillId="27" borderId="15" xfId="0" applyFont="1" applyFill="1" applyBorder="1" applyAlignment="1" applyProtection="1">
      <alignment horizontal="center" vertical="center"/>
      <protection locked="0"/>
    </xf>
    <xf numFmtId="0" fontId="12" fillId="27" borderId="15" xfId="37" applyFont="1" applyFill="1" applyBorder="1" applyProtection="1">
      <protection locked="0"/>
    </xf>
    <xf numFmtId="0" fontId="12" fillId="27" borderId="24" xfId="37" applyFont="1" applyFill="1" applyBorder="1" applyProtection="1">
      <protection locked="0"/>
    </xf>
    <xf numFmtId="0" fontId="4" fillId="0" borderId="13" xfId="37" applyBorder="1" applyAlignment="1">
      <alignment horizontal="center"/>
    </xf>
    <xf numFmtId="178" fontId="25" fillId="25" borderId="11" xfId="37" applyNumberFormat="1" applyFont="1" applyFill="1" applyBorder="1" applyAlignment="1">
      <alignment horizontal="left"/>
    </xf>
    <xf numFmtId="0" fontId="8" fillId="27" borderId="0" xfId="0" applyFont="1" applyFill="1" applyAlignment="1">
      <alignment vertical="center"/>
    </xf>
    <xf numFmtId="0" fontId="4" fillId="28" borderId="0" xfId="0" applyFont="1" applyFill="1" applyAlignment="1">
      <alignment horizontal="center" vertical="center"/>
    </xf>
    <xf numFmtId="178" fontId="4" fillId="0" borderId="0" xfId="37" applyNumberFormat="1" applyProtection="1">
      <protection hidden="1"/>
    </xf>
    <xf numFmtId="176" fontId="10" fillId="25" borderId="11" xfId="37" applyNumberFormat="1" applyFont="1" applyFill="1" applyBorder="1"/>
    <xf numFmtId="0" fontId="12" fillId="26" borderId="10" xfId="37" applyFont="1" applyFill="1" applyBorder="1" applyAlignment="1">
      <alignment horizontal="right"/>
    </xf>
    <xf numFmtId="0" fontId="0" fillId="29" borderId="10" xfId="0" applyFill="1" applyBorder="1"/>
    <xf numFmtId="2" fontId="10" fillId="29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29" borderId="10" xfId="0" applyFill="1" applyBorder="1" applyAlignment="1">
      <alignment horizontal="center"/>
    </xf>
    <xf numFmtId="2" fontId="10" fillId="29" borderId="0" xfId="0" applyNumberFormat="1" applyFont="1" applyFill="1" applyAlignment="1" applyProtection="1">
      <alignment horizontal="center" vertical="center" wrapText="1"/>
      <protection locked="0"/>
    </xf>
    <xf numFmtId="0" fontId="10" fillId="29" borderId="10" xfId="0" applyFont="1" applyFill="1" applyBorder="1" applyAlignment="1">
      <alignment horizontal="center"/>
    </xf>
    <xf numFmtId="0" fontId="4" fillId="29" borderId="10" xfId="37" applyFill="1" applyBorder="1" applyAlignment="1" applyProtection="1">
      <alignment horizontal="center"/>
      <protection hidden="1"/>
    </xf>
    <xf numFmtId="0" fontId="8" fillId="25" borderId="12" xfId="37" applyFont="1" applyFill="1" applyBorder="1" applyAlignment="1" applyProtection="1">
      <alignment horizontal="center" vertical="center"/>
      <protection hidden="1"/>
    </xf>
    <xf numFmtId="2" fontId="4" fillId="28" borderId="10" xfId="37" applyNumberFormat="1" applyFill="1" applyBorder="1" applyAlignment="1" applyProtection="1">
      <alignment horizontal="center"/>
      <protection hidden="1"/>
    </xf>
    <xf numFmtId="0" fontId="4" fillId="26" borderId="12" xfId="37" applyFill="1" applyBorder="1" applyAlignment="1" applyProtection="1">
      <alignment horizontal="center"/>
      <protection hidden="1"/>
    </xf>
    <xf numFmtId="178" fontId="4" fillId="30" borderId="10" xfId="37" applyNumberFormat="1" applyFill="1" applyBorder="1"/>
    <xf numFmtId="178" fontId="4" fillId="30" borderId="26" xfId="37" applyNumberFormat="1" applyFill="1" applyBorder="1"/>
    <xf numFmtId="178" fontId="3" fillId="30" borderId="14" xfId="37" applyNumberFormat="1" applyFont="1" applyFill="1" applyBorder="1" applyAlignment="1">
      <alignment horizontal="right"/>
    </xf>
    <xf numFmtId="178" fontId="3" fillId="30" borderId="10" xfId="37" applyNumberFormat="1" applyFont="1" applyFill="1" applyBorder="1" applyAlignment="1">
      <alignment horizontal="center"/>
    </xf>
    <xf numFmtId="2" fontId="4" fillId="30" borderId="10" xfId="37" applyNumberFormat="1" applyFill="1" applyBorder="1" applyAlignment="1">
      <alignment horizontal="center"/>
    </xf>
    <xf numFmtId="178" fontId="4" fillId="26" borderId="20" xfId="37" applyNumberFormat="1" applyFill="1" applyBorder="1"/>
    <xf numFmtId="176" fontId="4" fillId="30" borderId="10" xfId="37" applyNumberFormat="1" applyFill="1" applyBorder="1" applyAlignment="1">
      <alignment horizontal="center"/>
    </xf>
    <xf numFmtId="176" fontId="4" fillId="26" borderId="21" xfId="37" applyNumberFormat="1" applyFill="1" applyBorder="1" applyAlignment="1">
      <alignment horizontal="center"/>
    </xf>
    <xf numFmtId="176" fontId="4" fillId="30" borderId="14" xfId="37" applyNumberFormat="1" applyFill="1" applyBorder="1" applyAlignment="1">
      <alignment horizontal="center"/>
    </xf>
    <xf numFmtId="176" fontId="4" fillId="26" borderId="20" xfId="37" applyNumberFormat="1" applyFill="1" applyBorder="1" applyAlignment="1">
      <alignment horizontal="center"/>
    </xf>
    <xf numFmtId="178" fontId="4" fillId="26" borderId="25" xfId="37" applyNumberFormat="1" applyFill="1" applyBorder="1"/>
    <xf numFmtId="176" fontId="4" fillId="26" borderId="22" xfId="37" applyNumberFormat="1" applyFill="1" applyBorder="1" applyAlignment="1">
      <alignment horizontal="center"/>
    </xf>
    <xf numFmtId="176" fontId="4" fillId="26" borderId="25" xfId="37" applyNumberFormat="1" applyFill="1" applyBorder="1" applyAlignment="1">
      <alignment horizontal="center"/>
    </xf>
    <xf numFmtId="178" fontId="4" fillId="26" borderId="26" xfId="37" applyNumberFormat="1" applyFill="1" applyBorder="1"/>
    <xf numFmtId="176" fontId="4" fillId="26" borderId="16" xfId="37" applyNumberFormat="1" applyFill="1" applyBorder="1" applyAlignment="1">
      <alignment horizontal="center"/>
    </xf>
    <xf numFmtId="176" fontId="4" fillId="26" borderId="26" xfId="37" applyNumberFormat="1" applyFill="1" applyBorder="1" applyAlignment="1">
      <alignment horizontal="center"/>
    </xf>
    <xf numFmtId="176" fontId="3" fillId="25" borderId="13" xfId="37" applyNumberFormat="1" applyFont="1" applyFill="1" applyBorder="1"/>
    <xf numFmtId="176" fontId="3" fillId="25" borderId="12" xfId="37" applyNumberFormat="1" applyFont="1" applyFill="1" applyBorder="1"/>
    <xf numFmtId="176" fontId="4" fillId="25" borderId="0" xfId="37" applyNumberFormat="1" applyFill="1"/>
    <xf numFmtId="0" fontId="4" fillId="27" borderId="0" xfId="37" applyFill="1" applyAlignment="1">
      <alignment horizontal="center"/>
    </xf>
    <xf numFmtId="178" fontId="4" fillId="30" borderId="14" xfId="37" applyNumberFormat="1" applyFill="1" applyBorder="1"/>
    <xf numFmtId="178" fontId="3" fillId="30" borderId="10" xfId="37" applyNumberFormat="1" applyFont="1" applyFill="1" applyBorder="1" applyAlignment="1">
      <alignment horizontal="right"/>
    </xf>
    <xf numFmtId="176" fontId="4" fillId="25" borderId="15" xfId="37" applyNumberFormat="1" applyFill="1" applyBorder="1"/>
    <xf numFmtId="176" fontId="4" fillId="25" borderId="24" xfId="37" applyNumberFormat="1" applyFill="1" applyBorder="1"/>
    <xf numFmtId="2" fontId="4" fillId="30" borderId="14" xfId="37" applyNumberFormat="1" applyFill="1" applyBorder="1" applyAlignment="1">
      <alignment horizontal="center"/>
    </xf>
    <xf numFmtId="176" fontId="4" fillId="30" borderId="11" xfId="37" applyNumberFormat="1" applyFill="1" applyBorder="1" applyAlignment="1">
      <alignment horizontal="center"/>
    </xf>
    <xf numFmtId="2" fontId="10" fillId="30" borderId="10" xfId="37" applyNumberFormat="1" applyFont="1" applyFill="1" applyBorder="1"/>
    <xf numFmtId="178" fontId="10" fillId="26" borderId="24" xfId="37" applyNumberFormat="1" applyFont="1" applyFill="1" applyBorder="1" applyAlignment="1">
      <alignment horizontal="right"/>
    </xf>
    <xf numFmtId="178" fontId="10" fillId="30" borderId="26" xfId="37" applyNumberFormat="1" applyFont="1" applyFill="1" applyBorder="1"/>
    <xf numFmtId="2" fontId="10" fillId="30" borderId="24" xfId="37" applyNumberFormat="1" applyFont="1" applyFill="1" applyBorder="1" applyAlignment="1">
      <alignment horizontal="center"/>
    </xf>
    <xf numFmtId="2" fontId="10" fillId="30" borderId="26" xfId="37" applyNumberFormat="1" applyFont="1" applyFill="1" applyBorder="1" applyAlignment="1">
      <alignment horizontal="center"/>
    </xf>
    <xf numFmtId="178" fontId="10" fillId="30" borderId="16" xfId="37" applyNumberFormat="1" applyFont="1" applyFill="1" applyBorder="1" applyAlignment="1">
      <alignment horizontal="center"/>
    </xf>
    <xf numFmtId="176" fontId="10" fillId="30" borderId="16" xfId="37" applyNumberFormat="1" applyFont="1" applyFill="1" applyBorder="1" applyAlignment="1">
      <alignment horizontal="center"/>
    </xf>
    <xf numFmtId="176" fontId="10" fillId="30" borderId="26" xfId="37" applyNumberFormat="1" applyFont="1" applyFill="1" applyBorder="1" applyAlignment="1">
      <alignment horizontal="center"/>
    </xf>
    <xf numFmtId="178" fontId="10" fillId="26" borderId="14" xfId="37" applyNumberFormat="1" applyFont="1" applyFill="1" applyBorder="1" applyAlignment="1">
      <alignment horizontal="right"/>
    </xf>
    <xf numFmtId="0" fontId="10" fillId="25" borderId="12" xfId="37" applyFont="1" applyFill="1" applyBorder="1" applyAlignment="1">
      <alignment horizontal="left"/>
    </xf>
    <xf numFmtId="2" fontId="10" fillId="25" borderId="12" xfId="37" applyNumberFormat="1" applyFont="1" applyFill="1" applyBorder="1" applyAlignment="1">
      <alignment horizontal="left"/>
    </xf>
    <xf numFmtId="176" fontId="10" fillId="25" borderId="14" xfId="37" applyNumberFormat="1" applyFont="1" applyFill="1" applyBorder="1" applyAlignment="1">
      <alignment horizontal="left"/>
    </xf>
    <xf numFmtId="178" fontId="10" fillId="30" borderId="10" xfId="37" applyNumberFormat="1" applyFont="1" applyFill="1" applyBorder="1"/>
    <xf numFmtId="176" fontId="10" fillId="30" borderId="11" xfId="37" applyNumberFormat="1" applyFont="1" applyFill="1" applyBorder="1" applyAlignment="1">
      <alignment horizontal="center"/>
    </xf>
    <xf numFmtId="2" fontId="10" fillId="28" borderId="22" xfId="37" applyNumberFormat="1" applyFont="1" applyFill="1" applyBorder="1"/>
    <xf numFmtId="176" fontId="10" fillId="28" borderId="25" xfId="37" applyNumberFormat="1" applyFont="1" applyFill="1" applyBorder="1" applyAlignment="1">
      <alignment horizontal="center"/>
    </xf>
    <xf numFmtId="176" fontId="10" fillId="28" borderId="11" xfId="37" applyNumberFormat="1" applyFont="1" applyFill="1" applyBorder="1" applyAlignment="1">
      <alignment horizontal="center"/>
    </xf>
    <xf numFmtId="176" fontId="10" fillId="28" borderId="10" xfId="37" applyNumberFormat="1" applyFont="1" applyFill="1" applyBorder="1" applyAlignment="1">
      <alignment horizontal="center"/>
    </xf>
    <xf numFmtId="0" fontId="10" fillId="28" borderId="25" xfId="37" applyFont="1" applyFill="1" applyBorder="1" applyAlignment="1">
      <alignment horizontal="right"/>
    </xf>
    <xf numFmtId="176" fontId="10" fillId="28" borderId="10" xfId="37" applyNumberFormat="1" applyFont="1" applyFill="1" applyBorder="1"/>
    <xf numFmtId="176" fontId="10" fillId="28" borderId="23" xfId="37" applyNumberFormat="1" applyFont="1" applyFill="1" applyBorder="1"/>
    <xf numFmtId="176" fontId="10" fillId="28" borderId="22" xfId="37" applyNumberFormat="1" applyFont="1" applyFill="1" applyBorder="1" applyAlignment="1">
      <alignment horizontal="center"/>
    </xf>
    <xf numFmtId="176" fontId="10" fillId="25" borderId="11" xfId="37" applyNumberFormat="1" applyFont="1" applyFill="1" applyBorder="1" applyAlignment="1">
      <alignment horizontal="left"/>
    </xf>
    <xf numFmtId="178" fontId="10" fillId="30" borderId="14" xfId="37" applyNumberFormat="1" applyFont="1" applyFill="1" applyBorder="1"/>
    <xf numFmtId="178" fontId="10" fillId="30" borderId="24" xfId="37" applyNumberFormat="1" applyFont="1" applyFill="1" applyBorder="1" applyAlignment="1">
      <alignment horizontal="center"/>
    </xf>
    <xf numFmtId="178" fontId="10" fillId="30" borderId="26" xfId="37" applyNumberFormat="1" applyFont="1" applyFill="1" applyBorder="1" applyAlignment="1">
      <alignment horizontal="center"/>
    </xf>
    <xf numFmtId="176" fontId="10" fillId="25" borderId="11" xfId="37" applyNumberFormat="1" applyFont="1" applyFill="1" applyBorder="1" applyAlignment="1">
      <alignment horizontal="center"/>
    </xf>
    <xf numFmtId="176" fontId="10" fillId="25" borderId="14" xfId="37" applyNumberFormat="1" applyFont="1" applyFill="1" applyBorder="1" applyAlignment="1">
      <alignment horizontal="center"/>
    </xf>
    <xf numFmtId="0" fontId="2" fillId="24" borderId="10" xfId="37" applyFont="1" applyFill="1" applyBorder="1" applyAlignment="1">
      <alignment horizontal="center" vertical="center" wrapText="1"/>
    </xf>
    <xf numFmtId="176" fontId="2" fillId="24" borderId="20" xfId="37" applyNumberFormat="1" applyFont="1" applyFill="1" applyBorder="1" applyAlignment="1">
      <alignment horizontal="center" vertical="center" wrapText="1"/>
    </xf>
    <xf numFmtId="176" fontId="2" fillId="24" borderId="10" xfId="37" applyNumberFormat="1" applyFont="1" applyFill="1" applyBorder="1" applyAlignment="1">
      <alignment horizontal="center" vertical="center" wrapText="1"/>
    </xf>
    <xf numFmtId="176" fontId="2" fillId="24" borderId="19" xfId="37" applyNumberFormat="1" applyFont="1" applyFill="1" applyBorder="1" applyAlignment="1">
      <alignment horizontal="center" vertical="center" wrapText="1"/>
    </xf>
    <xf numFmtId="0" fontId="2" fillId="24" borderId="20" xfId="37" applyFont="1" applyFill="1" applyBorder="1" applyAlignment="1">
      <alignment horizontal="center" vertical="center" wrapText="1"/>
    </xf>
    <xf numFmtId="176" fontId="2" fillId="24" borderId="11" xfId="37" applyNumberFormat="1" applyFont="1" applyFill="1" applyBorder="1" applyAlignment="1">
      <alignment horizontal="center" vertical="center" wrapText="1"/>
    </xf>
    <xf numFmtId="176" fontId="10" fillId="25" borderId="14" xfId="37" applyNumberFormat="1" applyFont="1" applyFill="1" applyBorder="1"/>
    <xf numFmtId="0" fontId="10" fillId="28" borderId="10" xfId="37" applyFont="1" applyFill="1" applyBorder="1" applyAlignment="1">
      <alignment horizontal="right"/>
    </xf>
    <xf numFmtId="0" fontId="10" fillId="29" borderId="26" xfId="37" applyFont="1" applyFill="1" applyBorder="1"/>
    <xf numFmtId="176" fontId="10" fillId="30" borderId="10" xfId="37" applyNumberFormat="1" applyFont="1" applyFill="1" applyBorder="1" applyAlignment="1">
      <alignment horizontal="center"/>
    </xf>
    <xf numFmtId="0" fontId="10" fillId="29" borderId="10" xfId="37" applyFont="1" applyFill="1" applyBorder="1"/>
    <xf numFmtId="176" fontId="10" fillId="25" borderId="10" xfId="37" applyNumberFormat="1" applyFont="1" applyFill="1" applyBorder="1" applyAlignment="1">
      <alignment horizontal="center"/>
    </xf>
    <xf numFmtId="0" fontId="10" fillId="29" borderId="20" xfId="37" applyFont="1" applyFill="1" applyBorder="1"/>
    <xf numFmtId="178" fontId="10" fillId="0" borderId="0" xfId="37" applyNumberFormat="1" applyFont="1" applyAlignment="1">
      <alignment horizontal="center"/>
    </xf>
    <xf numFmtId="0" fontId="10" fillId="29" borderId="16" xfId="37" applyFont="1" applyFill="1" applyBorder="1"/>
    <xf numFmtId="0" fontId="10" fillId="29" borderId="11" xfId="37" applyFont="1" applyFill="1" applyBorder="1"/>
    <xf numFmtId="0" fontId="10" fillId="29" borderId="21" xfId="37" applyFont="1" applyFill="1" applyBorder="1"/>
    <xf numFmtId="0" fontId="2" fillId="24" borderId="21" xfId="37" applyFont="1" applyFill="1" applyBorder="1" applyAlignment="1">
      <alignment horizontal="center" vertical="center" wrapText="1"/>
    </xf>
    <xf numFmtId="176" fontId="10" fillId="0" borderId="0" xfId="37" applyNumberFormat="1" applyFont="1" applyAlignment="1">
      <alignment horizontal="left"/>
    </xf>
    <xf numFmtId="0" fontId="10" fillId="25" borderId="12" xfId="37" applyFont="1" applyFill="1" applyBorder="1" applyAlignment="1">
      <alignment horizontal="center"/>
    </xf>
    <xf numFmtId="178" fontId="10" fillId="25" borderId="12" xfId="37" applyNumberFormat="1" applyFont="1" applyFill="1" applyBorder="1" applyAlignment="1">
      <alignment horizontal="center"/>
    </xf>
    <xf numFmtId="0" fontId="4" fillId="26" borderId="0" xfId="37" applyFill="1" applyAlignment="1">
      <alignment horizontal="center"/>
    </xf>
    <xf numFmtId="0" fontId="4" fillId="26" borderId="16" xfId="37" applyFill="1" applyBorder="1"/>
    <xf numFmtId="176" fontId="10" fillId="28" borderId="23" xfId="37" applyNumberFormat="1" applyFont="1" applyFill="1" applyBorder="1" applyAlignment="1">
      <alignment horizontal="right"/>
    </xf>
    <xf numFmtId="178" fontId="10" fillId="25" borderId="12" xfId="37" applyNumberFormat="1" applyFont="1" applyFill="1" applyBorder="1" applyAlignment="1">
      <alignment horizontal="right"/>
    </xf>
    <xf numFmtId="178" fontId="10" fillId="26" borderId="19" xfId="37" applyNumberFormat="1" applyFont="1" applyFill="1" applyBorder="1" applyAlignment="1">
      <alignment horizontal="right"/>
    </xf>
    <xf numFmtId="0" fontId="4" fillId="26" borderId="15" xfId="37" applyFill="1" applyBorder="1" applyAlignment="1">
      <alignment horizontal="center"/>
    </xf>
    <xf numFmtId="0" fontId="4" fillId="26" borderId="11" xfId="37" applyFill="1" applyBorder="1"/>
    <xf numFmtId="178" fontId="10" fillId="30" borderId="26" xfId="37" applyNumberFormat="1" applyFont="1" applyFill="1" applyBorder="1" applyAlignment="1">
      <alignment horizontal="right"/>
    </xf>
    <xf numFmtId="176" fontId="2" fillId="24" borderId="14" xfId="37" applyNumberFormat="1" applyFont="1" applyFill="1" applyBorder="1" applyAlignment="1">
      <alignment horizontal="center" vertical="center" wrapText="1"/>
    </xf>
    <xf numFmtId="176" fontId="10" fillId="25" borderId="15" xfId="37" applyNumberFormat="1" applyFont="1" applyFill="1" applyBorder="1" applyAlignment="1">
      <alignment horizontal="left"/>
    </xf>
    <xf numFmtId="0" fontId="10" fillId="25" borderId="15" xfId="37" applyFont="1" applyFill="1" applyBorder="1" applyAlignment="1">
      <alignment horizontal="left"/>
    </xf>
    <xf numFmtId="178" fontId="10" fillId="30" borderId="19" xfId="37" applyNumberFormat="1" applyFont="1" applyFill="1" applyBorder="1"/>
    <xf numFmtId="178" fontId="10" fillId="30" borderId="10" xfId="37" applyNumberFormat="1" applyFont="1" applyFill="1" applyBorder="1" applyAlignment="1">
      <alignment horizontal="center"/>
    </xf>
    <xf numFmtId="176" fontId="10" fillId="28" borderId="14" xfId="37" applyNumberFormat="1" applyFont="1" applyFill="1" applyBorder="1"/>
    <xf numFmtId="176" fontId="10" fillId="28" borderId="26" xfId="37" applyNumberFormat="1" applyFont="1" applyFill="1" applyBorder="1" applyAlignment="1">
      <alignment horizontal="center"/>
    </xf>
    <xf numFmtId="176" fontId="10" fillId="28" borderId="16" xfId="37" applyNumberFormat="1" applyFont="1" applyFill="1" applyBorder="1" applyAlignment="1">
      <alignment horizontal="center"/>
    </xf>
    <xf numFmtId="0" fontId="5" fillId="24" borderId="14" xfId="37" applyFont="1" applyFill="1" applyBorder="1" applyAlignment="1">
      <alignment horizontal="center" vertical="center" wrapText="1"/>
    </xf>
    <xf numFmtId="178" fontId="4" fillId="26" borderId="10" xfId="37" applyNumberFormat="1" applyFill="1" applyBorder="1" applyAlignment="1">
      <alignment horizontal="right"/>
    </xf>
    <xf numFmtId="178" fontId="4" fillId="30" borderId="10" xfId="37" applyNumberFormat="1" applyFill="1" applyBorder="1" applyAlignment="1">
      <alignment horizontal="center"/>
    </xf>
    <xf numFmtId="176" fontId="4" fillId="28" borderId="10" xfId="37" applyNumberFormat="1" applyFill="1" applyBorder="1" applyAlignment="1">
      <alignment horizontal="center"/>
    </xf>
    <xf numFmtId="178" fontId="4" fillId="28" borderId="19" xfId="37" applyNumberFormat="1" applyFill="1" applyBorder="1"/>
    <xf numFmtId="178" fontId="4" fillId="28" borderId="14" xfId="37" applyNumberFormat="1" applyFill="1" applyBorder="1"/>
    <xf numFmtId="176" fontId="4" fillId="28" borderId="11" xfId="37" applyNumberFormat="1" applyFill="1" applyBorder="1" applyAlignment="1">
      <alignment horizontal="center"/>
    </xf>
    <xf numFmtId="178" fontId="5" fillId="25" borderId="12" xfId="37" applyNumberFormat="1" applyFont="1" applyFill="1" applyBorder="1" applyAlignment="1">
      <alignment horizontal="left" vertical="center"/>
    </xf>
    <xf numFmtId="178" fontId="4" fillId="25" borderId="12" xfId="37" applyNumberFormat="1" applyFill="1" applyBorder="1" applyAlignment="1">
      <alignment horizontal="left"/>
    </xf>
    <xf numFmtId="178" fontId="4" fillId="25" borderId="14" xfId="37" applyNumberFormat="1" applyFill="1" applyBorder="1" applyAlignment="1">
      <alignment horizontal="left"/>
    </xf>
    <xf numFmtId="0" fontId="4" fillId="28" borderId="10" xfId="37" applyFill="1" applyBorder="1" applyAlignment="1">
      <alignment horizontal="center"/>
    </xf>
    <xf numFmtId="0" fontId="4" fillId="28" borderId="11" xfId="37" applyFill="1" applyBorder="1" applyAlignment="1">
      <alignment horizontal="center"/>
    </xf>
    <xf numFmtId="178" fontId="4" fillId="26" borderId="12" xfId="37" applyNumberFormat="1" applyFill="1" applyBorder="1" applyAlignment="1">
      <alignment horizontal="right"/>
    </xf>
    <xf numFmtId="178" fontId="4" fillId="26" borderId="14" xfId="37" applyNumberFormat="1" applyFill="1" applyBorder="1"/>
    <xf numFmtId="176" fontId="4" fillId="26" borderId="14" xfId="37" applyNumberFormat="1" applyFill="1" applyBorder="1"/>
    <xf numFmtId="176" fontId="4" fillId="26" borderId="14" xfId="37" applyNumberFormat="1" applyFill="1" applyBorder="1" applyAlignment="1">
      <alignment horizontal="center"/>
    </xf>
    <xf numFmtId="176" fontId="4" fillId="26" borderId="12" xfId="37" applyNumberFormat="1" applyFill="1" applyBorder="1" applyAlignment="1">
      <alignment horizontal="center"/>
    </xf>
    <xf numFmtId="178" fontId="4" fillId="28" borderId="10" xfId="37" applyNumberFormat="1" applyFill="1" applyBorder="1" applyAlignment="1">
      <alignment horizontal="right"/>
    </xf>
    <xf numFmtId="178" fontId="4" fillId="28" borderId="14" xfId="37" applyNumberFormat="1" applyFill="1" applyBorder="1" applyAlignment="1">
      <alignment horizontal="right"/>
    </xf>
    <xf numFmtId="0" fontId="0" fillId="0" borderId="0" xfId="0" applyProtection="1">
      <protection locked="0"/>
    </xf>
    <xf numFmtId="178" fontId="10" fillId="26" borderId="10" xfId="37" applyNumberFormat="1" applyFont="1" applyFill="1" applyBorder="1" applyAlignment="1" applyProtection="1">
      <alignment horizontal="right"/>
      <protection locked="0"/>
    </xf>
    <xf numFmtId="178" fontId="10" fillId="25" borderId="10" xfId="37" applyNumberFormat="1" applyFont="1" applyFill="1" applyBorder="1" applyAlignment="1" applyProtection="1">
      <alignment horizontal="left"/>
      <protection locked="0"/>
    </xf>
    <xf numFmtId="178" fontId="10" fillId="25" borderId="12" xfId="37" applyNumberFormat="1" applyFont="1" applyFill="1" applyBorder="1" applyAlignment="1" applyProtection="1">
      <alignment horizontal="right"/>
      <protection locked="0"/>
    </xf>
    <xf numFmtId="178" fontId="25" fillId="25" borderId="10" xfId="37" applyNumberFormat="1" applyFont="1" applyFill="1" applyBorder="1" applyAlignment="1" applyProtection="1">
      <alignment horizontal="left"/>
      <protection locked="0"/>
    </xf>
    <xf numFmtId="1" fontId="33" fillId="29" borderId="10" xfId="0" applyNumberFormat="1" applyFont="1" applyFill="1" applyBorder="1" applyAlignment="1" applyProtection="1">
      <alignment horizontal="center" vertical="center" wrapText="1"/>
      <protection locked="0"/>
    </xf>
    <xf numFmtId="1" fontId="4" fillId="25" borderId="12" xfId="37" applyNumberFormat="1" applyFill="1" applyBorder="1" applyProtection="1">
      <protection hidden="1"/>
    </xf>
    <xf numFmtId="0" fontId="8" fillId="25" borderId="12" xfId="37" applyFont="1" applyFill="1" applyBorder="1" applyAlignment="1">
      <alignment horizontal="right" vertical="center"/>
    </xf>
    <xf numFmtId="2" fontId="4" fillId="25" borderId="12" xfId="37" applyNumberFormat="1" applyFill="1" applyBorder="1"/>
    <xf numFmtId="1" fontId="4" fillId="29" borderId="10" xfId="37" applyNumberFormat="1" applyFill="1" applyBorder="1"/>
    <xf numFmtId="1" fontId="4" fillId="29" borderId="10" xfId="37" applyNumberFormat="1" applyFill="1" applyBorder="1" applyAlignment="1">
      <alignment horizontal="right"/>
    </xf>
    <xf numFmtId="1" fontId="33" fillId="29" borderId="10" xfId="0" applyNumberFormat="1" applyFont="1" applyFill="1" applyBorder="1" applyAlignment="1">
      <alignment horizontal="center" vertical="center" wrapText="1"/>
    </xf>
    <xf numFmtId="1" fontId="8" fillId="25" borderId="11" xfId="37" applyNumberFormat="1" applyFont="1" applyFill="1" applyBorder="1" applyAlignment="1">
      <alignment horizontal="left" vertical="center"/>
    </xf>
    <xf numFmtId="1" fontId="8" fillId="25" borderId="12" xfId="37" applyNumberFormat="1" applyFont="1" applyFill="1" applyBorder="1" applyAlignment="1">
      <alignment horizontal="right" vertical="center"/>
    </xf>
    <xf numFmtId="1" fontId="4" fillId="25" borderId="12" xfId="37" applyNumberFormat="1" applyFill="1" applyBorder="1"/>
    <xf numFmtId="1" fontId="17" fillId="25" borderId="12" xfId="37" applyNumberFormat="1" applyFont="1" applyFill="1" applyBorder="1" applyAlignment="1">
      <alignment horizontal="left" vertical="center"/>
    </xf>
    <xf numFmtId="1" fontId="17" fillId="25" borderId="10" xfId="37" applyNumberFormat="1" applyFont="1" applyFill="1" applyBorder="1" applyAlignment="1">
      <alignment horizontal="left" vertical="center"/>
    </xf>
    <xf numFmtId="1" fontId="10" fillId="28" borderId="22" xfId="37" applyNumberFormat="1" applyFont="1" applyFill="1" applyBorder="1"/>
    <xf numFmtId="1" fontId="4" fillId="26" borderId="0" xfId="37" applyNumberFormat="1" applyFill="1"/>
    <xf numFmtId="1" fontId="2" fillId="24" borderId="21" xfId="37" applyNumberFormat="1" applyFont="1" applyFill="1" applyBorder="1" applyAlignment="1">
      <alignment horizontal="center" vertical="center" wrapText="1"/>
    </xf>
    <xf numFmtId="1" fontId="4" fillId="26" borderId="15" xfId="37" applyNumberFormat="1" applyFill="1" applyBorder="1"/>
    <xf numFmtId="1" fontId="2" fillId="24" borderId="10" xfId="37" applyNumberFormat="1" applyFont="1" applyFill="1" applyBorder="1" applyAlignment="1">
      <alignment horizontal="center" vertical="center" wrapText="1"/>
    </xf>
    <xf numFmtId="2" fontId="10" fillId="29" borderId="10" xfId="0" applyNumberFormat="1" applyFont="1" applyFill="1" applyBorder="1" applyAlignment="1">
      <alignment horizontal="center" vertical="center" wrapText="1"/>
    </xf>
    <xf numFmtId="2" fontId="4" fillId="28" borderId="10" xfId="37" applyNumberFormat="1" applyFill="1" applyBorder="1"/>
    <xf numFmtId="2" fontId="4" fillId="25" borderId="12" xfId="37" applyNumberFormat="1" applyFill="1" applyBorder="1" applyAlignment="1">
      <alignment horizontal="left"/>
    </xf>
    <xf numFmtId="1" fontId="4" fillId="28" borderId="10" xfId="37" applyNumberFormat="1" applyFill="1" applyBorder="1"/>
    <xf numFmtId="1" fontId="4" fillId="25" borderId="12" xfId="37" applyNumberFormat="1" applyFill="1" applyBorder="1" applyAlignment="1">
      <alignment horizontal="left"/>
    </xf>
    <xf numFmtId="0" fontId="4" fillId="29" borderId="11" xfId="37" applyFill="1" applyBorder="1"/>
    <xf numFmtId="0" fontId="4" fillId="28" borderId="11" xfId="37" applyFill="1" applyBorder="1"/>
    <xf numFmtId="0" fontId="4" fillId="28" borderId="10" xfId="37" applyFill="1" applyBorder="1" applyAlignment="1">
      <alignment horizontal="right"/>
    </xf>
    <xf numFmtId="0" fontId="8" fillId="25" borderId="13" xfId="37" applyFont="1" applyFill="1" applyBorder="1" applyAlignment="1">
      <alignment horizontal="left" vertical="center"/>
    </xf>
    <xf numFmtId="2" fontId="10" fillId="29" borderId="0" xfId="0" applyNumberFormat="1" applyFont="1" applyFill="1" applyAlignment="1">
      <alignment horizontal="center" vertical="center" wrapText="1"/>
    </xf>
    <xf numFmtId="0" fontId="8" fillId="25" borderId="12" xfId="37" applyFont="1" applyFill="1" applyBorder="1" applyAlignment="1">
      <alignment horizontal="left" vertical="center"/>
    </xf>
    <xf numFmtId="3" fontId="33" fillId="29" borderId="10" xfId="0" applyNumberFormat="1" applyFont="1" applyFill="1" applyBorder="1" applyAlignment="1">
      <alignment horizontal="center" vertical="center" wrapText="1"/>
    </xf>
    <xf numFmtId="3" fontId="4" fillId="27" borderId="12" xfId="37" applyNumberFormat="1" applyFill="1" applyBorder="1" applyAlignment="1">
      <alignment horizontal="left"/>
    </xf>
    <xf numFmtId="3" fontId="4" fillId="28" borderId="20" xfId="37" applyNumberFormat="1" applyFill="1" applyBorder="1"/>
    <xf numFmtId="0" fontId="4" fillId="29" borderId="10" xfId="37" applyFill="1" applyBorder="1" applyAlignment="1">
      <alignment horizontal="center"/>
    </xf>
    <xf numFmtId="0" fontId="8" fillId="25" borderId="12" xfId="37" applyFont="1" applyFill="1" applyBorder="1" applyAlignment="1">
      <alignment horizontal="center" vertical="center"/>
    </xf>
    <xf numFmtId="1" fontId="10" fillId="29" borderId="10" xfId="0" applyNumberFormat="1" applyFont="1" applyFill="1" applyBorder="1" applyAlignment="1">
      <alignment horizontal="center" vertical="center" wrapText="1"/>
    </xf>
    <xf numFmtId="1" fontId="4" fillId="29" borderId="10" xfId="37" applyNumberFormat="1" applyFill="1" applyBorder="1" applyAlignment="1">
      <alignment horizontal="center"/>
    </xf>
    <xf numFmtId="1" fontId="8" fillId="25" borderId="12" xfId="37" applyNumberFormat="1" applyFont="1" applyFill="1" applyBorder="1" applyAlignment="1">
      <alignment horizontal="center" vertical="center"/>
    </xf>
    <xf numFmtId="1" fontId="4" fillId="28" borderId="10" xfId="37" applyNumberFormat="1" applyFill="1" applyBorder="1" applyAlignment="1">
      <alignment horizontal="center"/>
    </xf>
    <xf numFmtId="1" fontId="10" fillId="29" borderId="0" xfId="0" applyNumberFormat="1" applyFont="1" applyFill="1" applyAlignment="1">
      <alignment horizontal="center" vertical="center" wrapText="1"/>
    </xf>
    <xf numFmtId="1" fontId="10" fillId="29" borderId="10" xfId="0" applyNumberFormat="1" applyFont="1" applyFill="1" applyBorder="1" applyAlignment="1">
      <alignment horizontal="center"/>
    </xf>
    <xf numFmtId="1" fontId="0" fillId="29" borderId="10" xfId="0" applyNumberFormat="1" applyFill="1" applyBorder="1" applyAlignment="1">
      <alignment horizontal="center"/>
    </xf>
    <xf numFmtId="177" fontId="4" fillId="28" borderId="10" xfId="37" applyNumberFormat="1" applyFill="1" applyBorder="1" applyAlignment="1">
      <alignment horizontal="right"/>
    </xf>
    <xf numFmtId="2" fontId="4" fillId="28" borderId="10" xfId="37" applyNumberFormat="1" applyFill="1" applyBorder="1" applyAlignment="1">
      <alignment horizontal="center"/>
    </xf>
    <xf numFmtId="0" fontId="10" fillId="33" borderId="0" xfId="37" applyFont="1" applyFill="1" applyAlignment="1">
      <alignment horizontal="center"/>
    </xf>
    <xf numFmtId="0" fontId="10" fillId="34" borderId="0" xfId="37" applyFont="1" applyFill="1" applyAlignment="1">
      <alignment horizontal="center"/>
    </xf>
    <xf numFmtId="0" fontId="4" fillId="33" borderId="0" xfId="37" applyFill="1" applyAlignment="1">
      <alignment horizontal="center"/>
    </xf>
    <xf numFmtId="0" fontId="4" fillId="34" borderId="0" xfId="37" applyFill="1" applyAlignment="1">
      <alignment horizontal="center"/>
    </xf>
    <xf numFmtId="2" fontId="1" fillId="28" borderId="20" xfId="37" applyNumberFormat="1" applyFont="1" applyFill="1" applyBorder="1"/>
    <xf numFmtId="178" fontId="1" fillId="28" borderId="20" xfId="37" applyNumberFormat="1" applyFont="1" applyFill="1" applyBorder="1"/>
    <xf numFmtId="180" fontId="41" fillId="32" borderId="42" xfId="44" applyNumberFormat="1" applyFont="1" applyFill="1" applyBorder="1" applyAlignment="1" applyProtection="1">
      <alignment horizontal="center"/>
      <protection locked="0"/>
    </xf>
    <xf numFmtId="0" fontId="41" fillId="32" borderId="10" xfId="44" applyFont="1" applyFill="1" applyBorder="1" applyAlignment="1" applyProtection="1">
      <alignment horizontal="center"/>
      <protection locked="0"/>
    </xf>
    <xf numFmtId="180" fontId="41" fillId="32" borderId="10" xfId="44" applyNumberFormat="1" applyFont="1" applyFill="1" applyBorder="1" applyAlignment="1" applyProtection="1">
      <alignment horizontal="center"/>
      <protection locked="0"/>
    </xf>
    <xf numFmtId="0" fontId="41" fillId="32" borderId="43" xfId="44" applyFont="1" applyFill="1" applyBorder="1" applyAlignment="1" applyProtection="1">
      <alignment horizontal="center"/>
      <protection locked="0"/>
    </xf>
    <xf numFmtId="0" fontId="34" fillId="32" borderId="0" xfId="44" applyFill="1" applyAlignment="1">
      <alignment horizontal="center"/>
    </xf>
    <xf numFmtId="0" fontId="38" fillId="32" borderId="0" xfId="44" applyFont="1" applyFill="1" applyAlignment="1">
      <alignment horizontal="center"/>
    </xf>
    <xf numFmtId="182" fontId="38" fillId="32" borderId="10" xfId="44" applyNumberFormat="1" applyFont="1" applyFill="1" applyBorder="1" applyAlignment="1">
      <alignment horizontal="center"/>
    </xf>
    <xf numFmtId="180" fontId="41" fillId="32" borderId="43" xfId="44" applyNumberFormat="1" applyFont="1" applyFill="1" applyBorder="1" applyAlignment="1" applyProtection="1">
      <alignment horizontal="center"/>
      <protection locked="0"/>
    </xf>
    <xf numFmtId="180" fontId="41" fillId="32" borderId="43" xfId="44" applyNumberFormat="1" applyFont="1" applyFill="1" applyBorder="1" applyAlignment="1" applyProtection="1">
      <alignment horizontal="center" vertical="center"/>
      <protection locked="0"/>
    </xf>
    <xf numFmtId="180" fontId="41" fillId="32" borderId="26" xfId="44" applyNumberFormat="1" applyFont="1" applyFill="1" applyBorder="1" applyAlignment="1" applyProtection="1">
      <alignment horizontal="center"/>
      <protection locked="0"/>
    </xf>
    <xf numFmtId="180" fontId="41" fillId="32" borderId="20" xfId="44" applyNumberFormat="1" applyFont="1" applyFill="1" applyBorder="1" applyAlignment="1" applyProtection="1">
      <alignment horizontal="center"/>
      <protection locked="0"/>
    </xf>
    <xf numFmtId="180" fontId="41" fillId="32" borderId="26" xfId="44" applyNumberFormat="1" applyFont="1" applyFill="1" applyBorder="1" applyAlignment="1" applyProtection="1">
      <alignment horizontal="center" vertical="center"/>
      <protection locked="0"/>
    </xf>
    <xf numFmtId="180" fontId="41" fillId="32" borderId="42" xfId="44" applyNumberFormat="1" applyFont="1" applyFill="1" applyBorder="1" applyAlignment="1" applyProtection="1">
      <alignment horizontal="center" vertical="center"/>
      <protection locked="0"/>
    </xf>
    <xf numFmtId="180" fontId="41" fillId="32" borderId="20" xfId="44" applyNumberFormat="1" applyFont="1" applyFill="1" applyBorder="1" applyAlignment="1" applyProtection="1">
      <alignment horizontal="center" vertical="center"/>
      <protection locked="0"/>
    </xf>
    <xf numFmtId="49" fontId="39" fillId="33" borderId="44" xfId="44" applyNumberFormat="1" applyFont="1" applyFill="1" applyBorder="1" applyAlignment="1">
      <alignment horizontal="center" vertical="center" wrapText="1"/>
    </xf>
    <xf numFmtId="0" fontId="34" fillId="0" borderId="0" xfId="44"/>
    <xf numFmtId="0" fontId="34" fillId="32" borderId="0" xfId="44" applyFill="1"/>
    <xf numFmtId="0" fontId="39" fillId="33" borderId="44" xfId="44" applyFont="1" applyFill="1" applyBorder="1" applyAlignment="1">
      <alignment horizontal="center" vertical="center" wrapText="1"/>
    </xf>
    <xf numFmtId="49" fontId="38" fillId="33" borderId="45" xfId="44" applyNumberFormat="1" applyFont="1" applyFill="1" applyBorder="1" applyAlignment="1">
      <alignment horizontal="center" vertical="center" wrapText="1"/>
    </xf>
    <xf numFmtId="180" fontId="39" fillId="33" borderId="44" xfId="44" applyNumberFormat="1" applyFont="1" applyFill="1" applyBorder="1" applyAlignment="1">
      <alignment horizontal="center" vertical="center" wrapText="1"/>
    </xf>
    <xf numFmtId="180" fontId="40" fillId="33" borderId="44" xfId="44" applyNumberFormat="1" applyFont="1" applyFill="1" applyBorder="1" applyAlignment="1">
      <alignment horizontal="center" vertical="center" wrapText="1"/>
    </xf>
    <xf numFmtId="0" fontId="38" fillId="33" borderId="44" xfId="44" applyFont="1" applyFill="1" applyBorder="1" applyAlignment="1">
      <alignment horizontal="center" vertical="center" wrapText="1"/>
    </xf>
    <xf numFmtId="0" fontId="34" fillId="0" borderId="0" xfId="44" applyAlignment="1">
      <alignment vertical="center"/>
    </xf>
    <xf numFmtId="0" fontId="36" fillId="32" borderId="0" xfId="44" applyFont="1" applyFill="1"/>
    <xf numFmtId="180" fontId="34" fillId="32" borderId="0" xfId="44" applyNumberFormat="1" applyFill="1" applyAlignment="1">
      <alignment horizontal="center"/>
    </xf>
    <xf numFmtId="0" fontId="46" fillId="32" borderId="0" xfId="44" applyFont="1" applyFill="1" applyAlignment="1">
      <alignment horizontal="center"/>
    </xf>
    <xf numFmtId="182" fontId="38" fillId="32" borderId="43" xfId="44" applyNumberFormat="1" applyFont="1" applyFill="1" applyBorder="1" applyAlignment="1">
      <alignment horizontal="center"/>
    </xf>
    <xf numFmtId="0" fontId="38" fillId="33" borderId="46" xfId="44" applyFont="1" applyFill="1" applyBorder="1" applyAlignment="1">
      <alignment horizontal="center" vertical="center" wrapText="1"/>
    </xf>
    <xf numFmtId="182" fontId="38" fillId="32" borderId="42" xfId="44" applyNumberFormat="1" applyFont="1" applyFill="1" applyBorder="1" applyAlignment="1">
      <alignment horizontal="center"/>
    </xf>
    <xf numFmtId="182" fontId="38" fillId="32" borderId="20" xfId="44" applyNumberFormat="1" applyFont="1" applyFill="1" applyBorder="1" applyAlignment="1">
      <alignment horizontal="center"/>
    </xf>
    <xf numFmtId="182" fontId="34" fillId="0" borderId="0" xfId="44" applyNumberFormat="1"/>
    <xf numFmtId="0" fontId="44" fillId="0" borderId="0" xfId="44" applyFont="1"/>
    <xf numFmtId="0" fontId="43" fillId="32" borderId="0" xfId="44" applyFont="1" applyFill="1" applyAlignment="1">
      <alignment horizontal="center"/>
    </xf>
    <xf numFmtId="179" fontId="43" fillId="32" borderId="0" xfId="44" applyNumberFormat="1" applyFont="1" applyFill="1" applyAlignment="1">
      <alignment horizontal="center"/>
    </xf>
    <xf numFmtId="179" fontId="34" fillId="32" borderId="0" xfId="44" applyNumberFormat="1" applyFill="1" applyAlignment="1">
      <alignment horizontal="center"/>
    </xf>
    <xf numFmtId="0" fontId="34" fillId="32" borderId="0" xfId="44" applyFill="1" applyAlignment="1">
      <alignment horizontal="left"/>
    </xf>
    <xf numFmtId="0" fontId="37" fillId="32" borderId="0" xfId="44" applyFont="1" applyFill="1"/>
    <xf numFmtId="0" fontId="48" fillId="32" borderId="0" xfId="44" applyFont="1" applyFill="1"/>
    <xf numFmtId="0" fontId="49" fillId="32" borderId="0" xfId="44" applyFont="1" applyFill="1"/>
    <xf numFmtId="179" fontId="38" fillId="32" borderId="0" xfId="44" applyNumberFormat="1" applyFont="1" applyFill="1" applyAlignment="1">
      <alignment horizontal="center"/>
    </xf>
    <xf numFmtId="49" fontId="38" fillId="33" borderId="50" xfId="44" applyNumberFormat="1" applyFont="1" applyFill="1" applyBorder="1" applyAlignment="1">
      <alignment horizontal="center" vertical="center" wrapText="1"/>
    </xf>
    <xf numFmtId="179" fontId="38" fillId="32" borderId="42" xfId="44" applyNumberFormat="1" applyFont="1" applyFill="1" applyBorder="1" applyAlignment="1">
      <alignment horizontal="center" vertical="center"/>
    </xf>
    <xf numFmtId="179" fontId="38" fillId="32" borderId="43" xfId="44" applyNumberFormat="1" applyFont="1" applyFill="1" applyBorder="1" applyAlignment="1">
      <alignment horizontal="center" vertical="center"/>
    </xf>
    <xf numFmtId="179" fontId="38" fillId="32" borderId="26" xfId="44" applyNumberFormat="1" applyFont="1" applyFill="1" applyBorder="1" applyAlignment="1">
      <alignment horizontal="center" vertical="center"/>
    </xf>
    <xf numFmtId="179" fontId="38" fillId="32" borderId="20" xfId="44" applyNumberFormat="1" applyFont="1" applyFill="1" applyBorder="1" applyAlignment="1">
      <alignment horizontal="center" vertical="center"/>
    </xf>
    <xf numFmtId="0" fontId="51" fillId="0" borderId="0" xfId="44" applyFont="1"/>
    <xf numFmtId="179" fontId="38" fillId="32" borderId="42" xfId="44" applyNumberFormat="1" applyFont="1" applyFill="1" applyBorder="1" applyAlignment="1">
      <alignment horizontal="center"/>
    </xf>
    <xf numFmtId="179" fontId="38" fillId="32" borderId="20" xfId="44" applyNumberFormat="1" applyFont="1" applyFill="1" applyBorder="1" applyAlignment="1">
      <alignment horizontal="center"/>
    </xf>
    <xf numFmtId="179" fontId="38" fillId="32" borderId="43" xfId="44" applyNumberFormat="1" applyFont="1" applyFill="1" applyBorder="1" applyAlignment="1">
      <alignment horizontal="center"/>
    </xf>
    <xf numFmtId="179" fontId="38" fillId="32" borderId="26" xfId="44" applyNumberFormat="1" applyFont="1" applyFill="1" applyBorder="1" applyAlignment="1">
      <alignment horizontal="center"/>
    </xf>
    <xf numFmtId="0" fontId="39" fillId="33" borderId="51" xfId="44" applyFont="1" applyFill="1" applyBorder="1" applyAlignment="1">
      <alignment horizontal="center" vertical="center" wrapText="1"/>
    </xf>
    <xf numFmtId="49" fontId="39" fillId="33" borderId="51" xfId="44" applyNumberFormat="1" applyFont="1" applyFill="1" applyBorder="1" applyAlignment="1">
      <alignment horizontal="center" vertical="center" wrapText="1"/>
    </xf>
    <xf numFmtId="180" fontId="39" fillId="33" borderId="51" xfId="44" applyNumberFormat="1" applyFont="1" applyFill="1" applyBorder="1" applyAlignment="1">
      <alignment horizontal="center" vertical="center" wrapText="1"/>
    </xf>
    <xf numFmtId="180" fontId="40" fillId="33" borderId="51" xfId="44" applyNumberFormat="1" applyFont="1" applyFill="1" applyBorder="1" applyAlignment="1">
      <alignment horizontal="center" vertical="center" wrapText="1"/>
    </xf>
    <xf numFmtId="0" fontId="39" fillId="33" borderId="52" xfId="44" applyFont="1" applyFill="1" applyBorder="1" applyAlignment="1">
      <alignment horizontal="center" vertical="center" wrapText="1"/>
    </xf>
    <xf numFmtId="179" fontId="39" fillId="0" borderId="42" xfId="44" applyNumberFormat="1" applyFont="1" applyBorder="1" applyAlignment="1">
      <alignment horizontal="center"/>
    </xf>
    <xf numFmtId="0" fontId="34" fillId="0" borderId="0" xfId="44" applyAlignment="1">
      <alignment horizontal="center"/>
    </xf>
    <xf numFmtId="49" fontId="38" fillId="33" borderId="53" xfId="44" applyNumberFormat="1" applyFont="1" applyFill="1" applyBorder="1" applyAlignment="1">
      <alignment horizontal="center" vertical="center" wrapText="1"/>
    </xf>
    <xf numFmtId="0" fontId="57" fillId="0" borderId="47" xfId="0" applyFont="1" applyBorder="1" applyAlignment="1">
      <alignment vertical="top" wrapText="1"/>
    </xf>
    <xf numFmtId="0" fontId="57" fillId="0" borderId="48" xfId="0" applyFont="1" applyBorder="1" applyAlignment="1">
      <alignment vertical="top" wrapText="1"/>
    </xf>
    <xf numFmtId="179" fontId="58" fillId="0" borderId="10" xfId="44" applyNumberFormat="1" applyFont="1" applyBorder="1" applyAlignment="1">
      <alignment horizontal="center"/>
    </xf>
    <xf numFmtId="179" fontId="58" fillId="0" borderId="43" xfId="44" applyNumberFormat="1" applyFont="1" applyBorder="1" applyAlignment="1">
      <alignment horizontal="center"/>
    </xf>
    <xf numFmtId="0" fontId="57" fillId="0" borderId="56" xfId="0" applyFont="1" applyBorder="1"/>
    <xf numFmtId="0" fontId="57" fillId="0" borderId="48" xfId="0" applyFont="1" applyBorder="1"/>
    <xf numFmtId="180" fontId="58" fillId="0" borderId="42" xfId="44" applyNumberFormat="1" applyFont="1" applyBorder="1" applyAlignment="1">
      <alignment horizontal="center" vertical="center"/>
    </xf>
    <xf numFmtId="180" fontId="58" fillId="0" borderId="20" xfId="44" applyNumberFormat="1" applyFont="1" applyBorder="1" applyAlignment="1">
      <alignment horizontal="center" vertical="center"/>
    </xf>
    <xf numFmtId="180" fontId="58" fillId="0" borderId="43" xfId="44" applyNumberFormat="1" applyFont="1" applyBorder="1" applyAlignment="1">
      <alignment horizontal="center" vertical="center"/>
    </xf>
    <xf numFmtId="180" fontId="50" fillId="0" borderId="43" xfId="44" applyNumberFormat="1" applyFont="1" applyBorder="1" applyAlignment="1" applyProtection="1">
      <alignment horizontal="center"/>
      <protection locked="0"/>
    </xf>
    <xf numFmtId="0" fontId="39" fillId="33" borderId="46" xfId="44" applyFont="1" applyFill="1" applyBorder="1" applyAlignment="1">
      <alignment horizontal="center" vertical="center" wrapText="1"/>
    </xf>
    <xf numFmtId="180" fontId="38" fillId="32" borderId="42" xfId="44" applyNumberFormat="1" applyFont="1" applyFill="1" applyBorder="1" applyAlignment="1" applyProtection="1">
      <alignment horizontal="center"/>
      <protection locked="0"/>
    </xf>
    <xf numFmtId="180" fontId="38" fillId="32" borderId="20" xfId="44" applyNumberFormat="1" applyFont="1" applyFill="1" applyBorder="1" applyAlignment="1" applyProtection="1">
      <alignment horizontal="center"/>
      <protection locked="0"/>
    </xf>
    <xf numFmtId="180" fontId="38" fillId="32" borderId="43" xfId="44" applyNumberFormat="1" applyFont="1" applyFill="1" applyBorder="1" applyAlignment="1" applyProtection="1">
      <alignment horizontal="center"/>
      <protection locked="0"/>
    </xf>
    <xf numFmtId="180" fontId="38" fillId="32" borderId="26" xfId="44" applyNumberFormat="1" applyFont="1" applyFill="1" applyBorder="1" applyAlignment="1" applyProtection="1">
      <alignment horizontal="center"/>
      <protection locked="0"/>
    </xf>
    <xf numFmtId="0" fontId="57" fillId="0" borderId="56" xfId="0" applyFont="1" applyBorder="1" applyAlignment="1">
      <alignment vertical="top" wrapText="1"/>
    </xf>
    <xf numFmtId="180" fontId="58" fillId="0" borderId="10" xfId="44" applyNumberFormat="1" applyFont="1" applyBorder="1" applyAlignment="1">
      <alignment horizontal="center" vertical="center"/>
    </xf>
    <xf numFmtId="49" fontId="38" fillId="33" borderId="58" xfId="44" applyNumberFormat="1" applyFont="1" applyFill="1" applyBorder="1" applyAlignment="1">
      <alignment horizontal="center" vertical="center" wrapText="1"/>
    </xf>
    <xf numFmtId="180" fontId="42" fillId="0" borderId="44" xfId="44" applyNumberFormat="1" applyFont="1" applyBorder="1" applyAlignment="1">
      <alignment horizontal="center" vertical="center"/>
    </xf>
    <xf numFmtId="180" fontId="42" fillId="0" borderId="43" xfId="44" applyNumberFormat="1" applyFont="1" applyBorder="1" applyAlignment="1">
      <alignment horizontal="center" vertical="center"/>
    </xf>
    <xf numFmtId="180" fontId="42" fillId="0" borderId="42" xfId="44" applyNumberFormat="1" applyFont="1" applyBorder="1" applyAlignment="1">
      <alignment horizontal="center"/>
    </xf>
    <xf numFmtId="180" fontId="42" fillId="0" borderId="43" xfId="44" applyNumberFormat="1" applyFont="1" applyBorder="1" applyAlignment="1">
      <alignment horizontal="center"/>
    </xf>
    <xf numFmtId="180" fontId="42" fillId="0" borderId="20" xfId="44" applyNumberFormat="1" applyFont="1" applyBorder="1" applyAlignment="1">
      <alignment horizontal="center"/>
    </xf>
    <xf numFmtId="180" fontId="43" fillId="0" borderId="42" xfId="44" applyNumberFormat="1" applyFont="1" applyBorder="1" applyAlignment="1">
      <alignment horizontal="center" vertical="center"/>
    </xf>
    <xf numFmtId="180" fontId="43" fillId="0" borderId="10" xfId="44" applyNumberFormat="1" applyFont="1" applyBorder="1" applyAlignment="1">
      <alignment horizontal="center" vertical="center"/>
    </xf>
    <xf numFmtId="180" fontId="43" fillId="32" borderId="10" xfId="44" applyNumberFormat="1" applyFont="1" applyFill="1" applyBorder="1" applyAlignment="1">
      <alignment horizontal="center" vertical="center"/>
    </xf>
    <xf numFmtId="180" fontId="43" fillId="0" borderId="43" xfId="44" applyNumberFormat="1" applyFont="1" applyBorder="1" applyAlignment="1">
      <alignment horizontal="center" vertical="center"/>
    </xf>
    <xf numFmtId="0" fontId="50" fillId="0" borderId="47" xfId="0" applyFont="1" applyBorder="1"/>
    <xf numFmtId="0" fontId="50" fillId="0" borderId="48" xfId="0" applyFont="1" applyBorder="1"/>
    <xf numFmtId="180" fontId="41" fillId="32" borderId="10" xfId="44" applyNumberFormat="1" applyFont="1" applyFill="1" applyBorder="1" applyAlignment="1" applyProtection="1">
      <alignment horizontal="center" vertical="center"/>
      <protection locked="0"/>
    </xf>
    <xf numFmtId="0" fontId="38" fillId="0" borderId="42" xfId="0" applyFont="1" applyBorder="1" applyAlignment="1">
      <alignment horizontal="center" vertical="top" wrapText="1"/>
    </xf>
    <xf numFmtId="179" fontId="42" fillId="32" borderId="10" xfId="44" applyNumberFormat="1" applyFont="1" applyFill="1" applyBorder="1" applyAlignment="1">
      <alignment horizontal="center"/>
    </xf>
    <xf numFmtId="179" fontId="42" fillId="32" borderId="43" xfId="44" applyNumberFormat="1" applyFont="1" applyFill="1" applyBorder="1" applyAlignment="1">
      <alignment horizontal="center"/>
    </xf>
    <xf numFmtId="180" fontId="38" fillId="32" borderId="10" xfId="44" applyNumberFormat="1" applyFont="1" applyFill="1" applyBorder="1" applyAlignment="1" applyProtection="1">
      <alignment horizontal="center"/>
      <protection locked="0"/>
    </xf>
    <xf numFmtId="0" fontId="38" fillId="33" borderId="59" xfId="44" applyFont="1" applyFill="1" applyBorder="1" applyAlignment="1">
      <alignment horizontal="center" vertical="center" wrapText="1"/>
    </xf>
    <xf numFmtId="0" fontId="50" fillId="0" borderId="56" xfId="0" applyFont="1" applyBorder="1"/>
    <xf numFmtId="0" fontId="50" fillId="0" borderId="14" xfId="0" applyFont="1" applyBorder="1" applyAlignment="1">
      <alignment horizontal="center"/>
    </xf>
    <xf numFmtId="0" fontId="73" fillId="38" borderId="56" xfId="0" applyFont="1" applyFill="1" applyBorder="1" applyAlignment="1">
      <alignment horizontal="left"/>
    </xf>
    <xf numFmtId="0" fontId="73" fillId="38" borderId="48" xfId="0" applyFont="1" applyFill="1" applyBorder="1" applyAlignment="1">
      <alignment horizontal="left"/>
    </xf>
    <xf numFmtId="0" fontId="1" fillId="0" borderId="0" xfId="0" applyFont="1"/>
    <xf numFmtId="0" fontId="74" fillId="0" borderId="0" xfId="0" applyFont="1"/>
    <xf numFmtId="0" fontId="73" fillId="38" borderId="49" xfId="0" applyFont="1" applyFill="1" applyBorder="1" applyAlignment="1">
      <alignment horizontal="left"/>
    </xf>
    <xf numFmtId="0" fontId="57" fillId="0" borderId="47" xfId="0" applyFont="1" applyBorder="1"/>
    <xf numFmtId="179" fontId="58" fillId="0" borderId="42" xfId="44" applyNumberFormat="1" applyFont="1" applyBorder="1" applyAlignment="1">
      <alignment horizontal="center"/>
    </xf>
    <xf numFmtId="0" fontId="57" fillId="0" borderId="42" xfId="0" applyFont="1" applyBorder="1" applyAlignment="1">
      <alignment horizontal="center" vertical="top" wrapText="1"/>
    </xf>
    <xf numFmtId="179" fontId="59" fillId="0" borderId="42" xfId="0" applyNumberFormat="1" applyFont="1" applyBorder="1" applyAlignment="1">
      <alignment horizontal="center" vertical="top" wrapText="1"/>
    </xf>
    <xf numFmtId="0" fontId="57" fillId="0" borderId="10" xfId="0" applyFont="1" applyBorder="1" applyAlignment="1">
      <alignment horizontal="center" vertical="top" wrapText="1"/>
    </xf>
    <xf numFmtId="179" fontId="59" fillId="0" borderId="10" xfId="0" applyNumberFormat="1" applyFont="1" applyBorder="1" applyAlignment="1">
      <alignment horizontal="center" vertical="top" wrapText="1"/>
    </xf>
    <xf numFmtId="0" fontId="57" fillId="0" borderId="43" xfId="0" applyFont="1" applyBorder="1" applyAlignment="1">
      <alignment horizontal="center" vertical="top" wrapText="1"/>
    </xf>
    <xf numFmtId="179" fontId="59" fillId="0" borderId="43" xfId="0" applyNumberFormat="1" applyFont="1" applyBorder="1" applyAlignment="1">
      <alignment horizontal="center" vertical="top" wrapText="1"/>
    </xf>
    <xf numFmtId="0" fontId="38" fillId="33" borderId="52" xfId="44" applyFont="1" applyFill="1" applyBorder="1" applyAlignment="1">
      <alignment horizontal="center" vertical="center" wrapText="1"/>
    </xf>
    <xf numFmtId="0" fontId="75" fillId="27" borderId="0" xfId="0" applyFont="1" applyFill="1" applyAlignment="1">
      <alignment horizontal="center" vertical="center"/>
    </xf>
    <xf numFmtId="0" fontId="75" fillId="27" borderId="0" xfId="0" applyFont="1" applyFill="1" applyAlignment="1">
      <alignment horizontal="center" vertical="center" wrapText="1"/>
    </xf>
    <xf numFmtId="0" fontId="76" fillId="0" borderId="0" xfId="0" applyFont="1" applyAlignment="1">
      <alignment horizontal="center" vertical="center"/>
    </xf>
    <xf numFmtId="14" fontId="76" fillId="0" borderId="0" xfId="0" applyNumberFormat="1" applyFont="1" applyAlignment="1">
      <alignment horizontal="left" vertical="center"/>
    </xf>
    <xf numFmtId="0" fontId="76" fillId="0" borderId="0" xfId="0" applyFont="1" applyAlignment="1">
      <alignment vertical="center" wrapText="1"/>
    </xf>
    <xf numFmtId="0" fontId="76" fillId="0" borderId="0" xfId="0" applyFont="1" applyAlignment="1">
      <alignment horizontal="left" vertical="center" wrapText="1"/>
    </xf>
    <xf numFmtId="0" fontId="77" fillId="0" borderId="47" xfId="0" applyFont="1" applyBorder="1" applyAlignment="1">
      <alignment vertical="top" wrapText="1"/>
    </xf>
    <xf numFmtId="0" fontId="77" fillId="0" borderId="57" xfId="0" applyFont="1" applyBorder="1" applyAlignment="1">
      <alignment vertical="top" wrapText="1"/>
    </xf>
    <xf numFmtId="0" fontId="77" fillId="0" borderId="70" xfId="0" applyFont="1" applyBorder="1" applyAlignment="1">
      <alignment vertical="top" wrapText="1"/>
    </xf>
    <xf numFmtId="0" fontId="77" fillId="0" borderId="71" xfId="0" applyFont="1" applyBorder="1" applyAlignment="1">
      <alignment vertical="top" wrapText="1"/>
    </xf>
    <xf numFmtId="0" fontId="56" fillId="0" borderId="72" xfId="0" applyFont="1" applyBorder="1" applyAlignment="1">
      <alignment vertical="top" wrapText="1"/>
    </xf>
    <xf numFmtId="0" fontId="56" fillId="0" borderId="73" xfId="0" applyFont="1" applyBorder="1" applyAlignment="1">
      <alignment vertical="top" wrapText="1"/>
    </xf>
    <xf numFmtId="0" fontId="77" fillId="0" borderId="48" xfId="0" applyFont="1" applyBorder="1" applyAlignment="1">
      <alignment vertical="top" wrapText="1"/>
    </xf>
    <xf numFmtId="0" fontId="79" fillId="0" borderId="0" xfId="0" applyFont="1"/>
    <xf numFmtId="0" fontId="81" fillId="32" borderId="0" xfId="44" applyFont="1" applyFill="1"/>
    <xf numFmtId="0" fontId="81" fillId="32" borderId="0" xfId="44" applyFont="1" applyFill="1" applyAlignment="1">
      <alignment horizontal="center"/>
    </xf>
    <xf numFmtId="0" fontId="81" fillId="0" borderId="0" xfId="44" applyFont="1"/>
    <xf numFmtId="49" fontId="82" fillId="33" borderId="50" xfId="44" applyNumberFormat="1" applyFont="1" applyFill="1" applyBorder="1" applyAlignment="1">
      <alignment horizontal="center" vertical="center" wrapText="1"/>
    </xf>
    <xf numFmtId="49" fontId="82" fillId="33" borderId="53" xfId="44" applyNumberFormat="1" applyFont="1" applyFill="1" applyBorder="1" applyAlignment="1">
      <alignment horizontal="center" vertical="center" wrapText="1"/>
    </xf>
    <xf numFmtId="0" fontId="82" fillId="33" borderId="44" xfId="44" applyFont="1" applyFill="1" applyBorder="1" applyAlignment="1">
      <alignment horizontal="center" vertical="center" wrapText="1"/>
    </xf>
    <xf numFmtId="49" fontId="82" fillId="33" borderId="44" xfId="44" applyNumberFormat="1" applyFont="1" applyFill="1" applyBorder="1" applyAlignment="1">
      <alignment horizontal="center" vertical="center" wrapText="1"/>
    </xf>
    <xf numFmtId="180" fontId="82" fillId="33" borderId="44" xfId="44" applyNumberFormat="1" applyFont="1" applyFill="1" applyBorder="1" applyAlignment="1">
      <alignment horizontal="center" vertical="center" wrapText="1"/>
    </xf>
    <xf numFmtId="180" fontId="82" fillId="33" borderId="51" xfId="44" applyNumberFormat="1" applyFont="1" applyFill="1" applyBorder="1" applyAlignment="1">
      <alignment horizontal="center" vertical="center" wrapText="1"/>
    </xf>
    <xf numFmtId="0" fontId="82" fillId="33" borderId="51" xfId="44" applyFont="1" applyFill="1" applyBorder="1" applyAlignment="1">
      <alignment horizontal="center" vertical="center" wrapText="1"/>
    </xf>
    <xf numFmtId="0" fontId="82" fillId="33" borderId="44" xfId="44" applyFont="1" applyFill="1" applyBorder="1" applyAlignment="1">
      <alignment horizontal="center" vertical="center"/>
    </xf>
    <xf numFmtId="0" fontId="82" fillId="33" borderId="46" xfId="0" applyFont="1" applyFill="1" applyBorder="1" applyAlignment="1">
      <alignment vertical="center" wrapText="1"/>
    </xf>
    <xf numFmtId="0" fontId="83" fillId="0" borderId="72" xfId="0" applyFont="1" applyBorder="1" applyAlignment="1">
      <alignment vertical="center" wrapText="1"/>
    </xf>
    <xf numFmtId="180" fontId="82" fillId="0" borderId="42" xfId="44" applyNumberFormat="1" applyFont="1" applyBorder="1" applyAlignment="1">
      <alignment horizontal="center" vertical="center"/>
    </xf>
    <xf numFmtId="180" fontId="78" fillId="0" borderId="42" xfId="44" applyNumberFormat="1" applyFont="1" applyBorder="1" applyAlignment="1">
      <alignment horizontal="center"/>
    </xf>
    <xf numFmtId="180" fontId="85" fillId="32" borderId="42" xfId="44" applyNumberFormat="1" applyFont="1" applyFill="1" applyBorder="1" applyAlignment="1" applyProtection="1">
      <alignment horizontal="center"/>
      <protection locked="0"/>
    </xf>
    <xf numFmtId="182" fontId="82" fillId="32" borderId="42" xfId="44" applyNumberFormat="1" applyFont="1" applyFill="1" applyBorder="1" applyAlignment="1">
      <alignment horizontal="center"/>
    </xf>
    <xf numFmtId="0" fontId="83" fillId="0" borderId="73" xfId="0" applyFont="1" applyBorder="1" applyAlignment="1">
      <alignment vertical="center" wrapText="1"/>
    </xf>
    <xf numFmtId="180" fontId="82" fillId="0" borderId="43" xfId="44" applyNumberFormat="1" applyFont="1" applyBorder="1" applyAlignment="1">
      <alignment horizontal="center" vertical="center"/>
    </xf>
    <xf numFmtId="180" fontId="78" fillId="0" borderId="43" xfId="44" applyNumberFormat="1" applyFont="1" applyBorder="1" applyAlignment="1">
      <alignment horizontal="center"/>
    </xf>
    <xf numFmtId="180" fontId="85" fillId="32" borderId="43" xfId="44" applyNumberFormat="1" applyFont="1" applyFill="1" applyBorder="1" applyAlignment="1" applyProtection="1">
      <alignment horizontal="center"/>
      <protection locked="0"/>
    </xf>
    <xf numFmtId="182" fontId="82" fillId="32" borderId="43" xfId="44" applyNumberFormat="1" applyFont="1" applyFill="1" applyBorder="1" applyAlignment="1">
      <alignment horizontal="center"/>
    </xf>
    <xf numFmtId="180" fontId="85" fillId="32" borderId="26" xfId="44" applyNumberFormat="1" applyFont="1" applyFill="1" applyBorder="1" applyAlignment="1" applyProtection="1">
      <alignment horizontal="center"/>
      <protection locked="0"/>
    </xf>
    <xf numFmtId="182" fontId="82" fillId="32" borderId="26" xfId="44" applyNumberFormat="1" applyFont="1" applyFill="1" applyBorder="1" applyAlignment="1">
      <alignment horizontal="center"/>
    </xf>
    <xf numFmtId="180" fontId="85" fillId="32" borderId="20" xfId="44" applyNumberFormat="1" applyFont="1" applyFill="1" applyBorder="1" applyAlignment="1" applyProtection="1">
      <alignment horizontal="center"/>
      <protection locked="0"/>
    </xf>
    <xf numFmtId="182" fontId="82" fillId="32" borderId="20" xfId="44" applyNumberFormat="1" applyFont="1" applyFill="1" applyBorder="1" applyAlignment="1">
      <alignment horizontal="center"/>
    </xf>
    <xf numFmtId="0" fontId="83" fillId="0" borderId="47" xfId="0" applyFont="1" applyBorder="1" applyAlignment="1">
      <alignment vertical="center" wrapText="1"/>
    </xf>
    <xf numFmtId="0" fontId="83" fillId="0" borderId="48" xfId="0" applyFont="1" applyBorder="1" applyAlignment="1">
      <alignment vertical="center" wrapText="1"/>
    </xf>
    <xf numFmtId="0" fontId="83" fillId="0" borderId="49" xfId="0" applyFont="1" applyBorder="1" applyAlignment="1">
      <alignment vertical="center" wrapText="1"/>
    </xf>
    <xf numFmtId="180" fontId="82" fillId="0" borderId="26" xfId="44" applyNumberFormat="1" applyFont="1" applyBorder="1" applyAlignment="1">
      <alignment horizontal="center" vertical="center"/>
    </xf>
    <xf numFmtId="180" fontId="78" fillId="0" borderId="42" xfId="44" applyNumberFormat="1" applyFont="1" applyBorder="1" applyAlignment="1">
      <alignment horizontal="center" vertical="center"/>
    </xf>
    <xf numFmtId="180" fontId="85" fillId="32" borderId="42" xfId="44" applyNumberFormat="1" applyFont="1" applyFill="1" applyBorder="1" applyAlignment="1" applyProtection="1">
      <alignment horizontal="center" vertical="center"/>
      <protection locked="0"/>
    </xf>
    <xf numFmtId="182" fontId="82" fillId="32" borderId="42" xfId="44" applyNumberFormat="1" applyFont="1" applyFill="1" applyBorder="1" applyAlignment="1">
      <alignment horizontal="center" vertical="center"/>
    </xf>
    <xf numFmtId="180" fontId="78" fillId="0" borderId="43" xfId="44" applyNumberFormat="1" applyFont="1" applyBorder="1" applyAlignment="1">
      <alignment horizontal="center" vertical="center"/>
    </xf>
    <xf numFmtId="180" fontId="85" fillId="32" borderId="43" xfId="44" applyNumberFormat="1" applyFont="1" applyFill="1" applyBorder="1" applyAlignment="1" applyProtection="1">
      <alignment horizontal="center" vertical="center"/>
      <protection locked="0"/>
    </xf>
    <xf numFmtId="182" fontId="82" fillId="32" borderId="43" xfId="44" applyNumberFormat="1" applyFont="1" applyFill="1" applyBorder="1" applyAlignment="1">
      <alignment horizontal="center" vertical="center"/>
    </xf>
    <xf numFmtId="179" fontId="82" fillId="0" borderId="42" xfId="44" applyNumberFormat="1" applyFont="1" applyBorder="1" applyAlignment="1">
      <alignment horizontal="center"/>
    </xf>
    <xf numFmtId="179" fontId="82" fillId="0" borderId="43" xfId="44" applyNumberFormat="1" applyFont="1" applyBorder="1" applyAlignment="1">
      <alignment horizontal="center"/>
    </xf>
    <xf numFmtId="0" fontId="83" fillId="0" borderId="47" xfId="0" applyFont="1" applyBorder="1" applyAlignment="1">
      <alignment vertical="top" wrapText="1"/>
    </xf>
    <xf numFmtId="0" fontId="83" fillId="0" borderId="48" xfId="0" applyFont="1" applyBorder="1" applyAlignment="1">
      <alignment vertical="top" wrapText="1"/>
    </xf>
    <xf numFmtId="179" fontId="82" fillId="0" borderId="42" xfId="44" applyNumberFormat="1" applyFont="1" applyBorder="1" applyAlignment="1">
      <alignment horizontal="center" vertical="center"/>
    </xf>
    <xf numFmtId="179" fontId="82" fillId="0" borderId="43" xfId="44" applyNumberFormat="1" applyFont="1" applyBorder="1" applyAlignment="1">
      <alignment horizontal="center" vertical="center"/>
    </xf>
    <xf numFmtId="179" fontId="78" fillId="0" borderId="42" xfId="44" applyNumberFormat="1" applyFont="1" applyBorder="1" applyAlignment="1">
      <alignment horizontal="center"/>
    </xf>
    <xf numFmtId="179" fontId="78" fillId="0" borderId="43" xfId="44" applyNumberFormat="1" applyFont="1" applyBorder="1" applyAlignment="1">
      <alignment horizontal="center"/>
    </xf>
    <xf numFmtId="0" fontId="88" fillId="0" borderId="47" xfId="0" applyFont="1" applyBorder="1" applyAlignment="1">
      <alignment vertical="top" wrapText="1"/>
    </xf>
    <xf numFmtId="0" fontId="88" fillId="0" borderId="48" xfId="0" applyFont="1" applyBorder="1" applyAlignment="1">
      <alignment vertical="top" wrapText="1"/>
    </xf>
    <xf numFmtId="0" fontId="88" fillId="0" borderId="47" xfId="0" applyFont="1" applyBorder="1" applyAlignment="1">
      <alignment vertical="center" wrapText="1"/>
    </xf>
    <xf numFmtId="179" fontId="78" fillId="0" borderId="42" xfId="44" applyNumberFormat="1" applyFont="1" applyBorder="1" applyAlignment="1">
      <alignment horizontal="center" vertical="center"/>
    </xf>
    <xf numFmtId="0" fontId="88" fillId="0" borderId="48" xfId="0" applyFont="1" applyBorder="1" applyAlignment="1">
      <alignment vertical="center" wrapText="1"/>
    </xf>
    <xf numFmtId="179" fontId="78" fillId="0" borderId="43" xfId="44" applyNumberFormat="1" applyFont="1" applyBorder="1" applyAlignment="1">
      <alignment horizontal="center" vertical="center"/>
    </xf>
    <xf numFmtId="0" fontId="84" fillId="0" borderId="0" xfId="0" applyFont="1" applyAlignment="1">
      <alignment vertical="top" wrapText="1"/>
    </xf>
    <xf numFmtId="182" fontId="86" fillId="0" borderId="0" xfId="44" applyNumberFormat="1" applyFont="1"/>
    <xf numFmtId="180" fontId="85" fillId="0" borderId="0" xfId="44" applyNumberFormat="1" applyFont="1"/>
    <xf numFmtId="180" fontId="82" fillId="32" borderId="0" xfId="44" applyNumberFormat="1" applyFont="1" applyFill="1" applyAlignment="1">
      <alignment horizontal="center"/>
    </xf>
    <xf numFmtId="182" fontId="82" fillId="32" borderId="0" xfId="44" applyNumberFormat="1" applyFont="1" applyFill="1" applyAlignment="1">
      <alignment horizontal="center"/>
    </xf>
    <xf numFmtId="180" fontId="85" fillId="32" borderId="0" xfId="44" applyNumberFormat="1" applyFont="1" applyFill="1" applyAlignment="1">
      <alignment horizontal="center"/>
    </xf>
    <xf numFmtId="0" fontId="89" fillId="0" borderId="0" xfId="44" applyFont="1" applyAlignment="1">
      <alignment horizontal="center" vertical="center"/>
    </xf>
    <xf numFmtId="0" fontId="89" fillId="0" borderId="0" xfId="44" applyFont="1" applyAlignment="1">
      <alignment horizontal="center" vertical="center" wrapText="1"/>
    </xf>
    <xf numFmtId="0" fontId="89" fillId="32" borderId="0" xfId="44" applyFont="1" applyFill="1" applyAlignment="1">
      <alignment horizontal="center" vertical="center"/>
    </xf>
    <xf numFmtId="0" fontId="90" fillId="32" borderId="0" xfId="44" applyFont="1" applyFill="1"/>
    <xf numFmtId="0" fontId="78" fillId="32" borderId="0" xfId="44" applyFont="1" applyFill="1" applyAlignment="1">
      <alignment horizontal="center"/>
    </xf>
    <xf numFmtId="179" fontId="81" fillId="32" borderId="0" xfId="44" applyNumberFormat="1" applyFont="1" applyFill="1" applyAlignment="1">
      <alignment horizontal="center"/>
    </xf>
    <xf numFmtId="0" fontId="82" fillId="32" borderId="0" xfId="44" applyFont="1" applyFill="1" applyAlignment="1">
      <alignment horizontal="center"/>
    </xf>
    <xf numFmtId="0" fontId="82" fillId="33" borderId="46" xfId="44" applyFont="1" applyFill="1" applyBorder="1" applyAlignment="1">
      <alignment horizontal="center" vertical="center" wrapText="1"/>
    </xf>
    <xf numFmtId="0" fontId="91" fillId="32" borderId="0" xfId="44" applyFont="1" applyFill="1"/>
    <xf numFmtId="0" fontId="82" fillId="0" borderId="47" xfId="0" applyFont="1" applyBorder="1"/>
    <xf numFmtId="0" fontId="82" fillId="0" borderId="48" xfId="0" applyFont="1" applyBorder="1"/>
    <xf numFmtId="0" fontId="92" fillId="32" borderId="0" xfId="44" applyFont="1" applyFill="1"/>
    <xf numFmtId="0" fontId="93" fillId="0" borderId="0" xfId="0" applyFont="1"/>
    <xf numFmtId="183" fontId="85" fillId="0" borderId="0" xfId="0" applyNumberFormat="1" applyFont="1"/>
    <xf numFmtId="0" fontId="85" fillId="32" borderId="0" xfId="44" applyFont="1" applyFill="1" applyAlignment="1">
      <alignment horizontal="left"/>
    </xf>
    <xf numFmtId="0" fontId="93" fillId="32" borderId="0" xfId="44" applyFont="1" applyFill="1" applyAlignment="1">
      <alignment horizontal="center" vertical="center"/>
    </xf>
    <xf numFmtId="181" fontId="93" fillId="32" borderId="0" xfId="44" applyNumberFormat="1" applyFont="1" applyFill="1" applyAlignment="1">
      <alignment horizontal="center" vertical="center" wrapText="1"/>
    </xf>
    <xf numFmtId="0" fontId="94" fillId="0" borderId="0" xfId="0" applyFont="1"/>
    <xf numFmtId="0" fontId="77" fillId="0" borderId="47" xfId="0" applyFont="1" applyBorder="1"/>
    <xf numFmtId="179" fontId="78" fillId="0" borderId="42" xfId="0" applyNumberFormat="1" applyFont="1" applyBorder="1" applyAlignment="1">
      <alignment horizontal="center"/>
    </xf>
    <xf numFmtId="180" fontId="82" fillId="32" borderId="42" xfId="44" applyNumberFormat="1" applyFont="1" applyFill="1" applyBorder="1" applyAlignment="1" applyProtection="1">
      <alignment horizontal="center"/>
      <protection locked="0"/>
    </xf>
    <xf numFmtId="0" fontId="77" fillId="0" borderId="48" xfId="0" applyFont="1" applyBorder="1"/>
    <xf numFmtId="179" fontId="78" fillId="0" borderId="43" xfId="0" applyNumberFormat="1" applyFont="1" applyBorder="1" applyAlignment="1">
      <alignment horizontal="center"/>
    </xf>
    <xf numFmtId="180" fontId="82" fillId="32" borderId="43" xfId="44" applyNumberFormat="1" applyFont="1" applyFill="1" applyBorder="1" applyAlignment="1" applyProtection="1">
      <alignment horizontal="center"/>
      <protection locked="0"/>
    </xf>
    <xf numFmtId="0" fontId="38" fillId="0" borderId="72" xfId="0" applyFont="1" applyBorder="1" applyAlignment="1">
      <alignment vertical="top" wrapText="1"/>
    </xf>
    <xf numFmtId="0" fontId="38" fillId="0" borderId="74" xfId="0" applyFont="1" applyBorder="1" applyAlignment="1">
      <alignment vertical="top" wrapText="1"/>
    </xf>
    <xf numFmtId="0" fontId="38" fillId="0" borderId="73" xfId="0" applyFont="1" applyBorder="1" applyAlignment="1">
      <alignment vertical="top" wrapText="1"/>
    </xf>
    <xf numFmtId="0" fontId="50" fillId="0" borderId="72" xfId="0" applyFont="1" applyBorder="1" applyAlignment="1">
      <alignment vertical="top" wrapText="1"/>
    </xf>
    <xf numFmtId="0" fontId="50" fillId="0" borderId="73" xfId="0" applyFont="1" applyBorder="1" applyAlignment="1">
      <alignment vertical="top" wrapText="1"/>
    </xf>
    <xf numFmtId="0" fontId="108" fillId="39" borderId="56" xfId="0" applyFont="1" applyFill="1" applyBorder="1" applyAlignment="1">
      <alignment vertical="top" wrapText="1"/>
    </xf>
    <xf numFmtId="0" fontId="108" fillId="39" borderId="48" xfId="0" applyFont="1" applyFill="1" applyBorder="1" applyAlignment="1">
      <alignment vertical="top" wrapText="1"/>
    </xf>
    <xf numFmtId="0" fontId="109" fillId="39" borderId="48" xfId="0" applyFont="1" applyFill="1" applyBorder="1" applyAlignment="1">
      <alignment vertical="center" wrapText="1"/>
    </xf>
    <xf numFmtId="0" fontId="111" fillId="0" borderId="54" xfId="0" applyFont="1" applyBorder="1" applyAlignment="1">
      <alignment vertical="center" wrapText="1"/>
    </xf>
    <xf numFmtId="0" fontId="108" fillId="39" borderId="51" xfId="0" applyFont="1" applyFill="1" applyBorder="1" applyAlignment="1">
      <alignment vertical="top" wrapText="1"/>
    </xf>
    <xf numFmtId="0" fontId="108" fillId="39" borderId="43" xfId="0" applyFont="1" applyFill="1" applyBorder="1" applyAlignment="1">
      <alignment vertical="top" wrapText="1"/>
    </xf>
    <xf numFmtId="0" fontId="108" fillId="39" borderId="42" xfId="0" applyFont="1" applyFill="1" applyBorder="1" applyAlignment="1">
      <alignment vertical="top" wrapText="1"/>
    </xf>
    <xf numFmtId="0" fontId="106" fillId="32" borderId="0" xfId="44" applyFont="1" applyFill="1" applyAlignment="1">
      <alignment horizontal="center"/>
    </xf>
    <xf numFmtId="0" fontId="109" fillId="39" borderId="47" xfId="0" applyFont="1" applyFill="1" applyBorder="1" applyAlignment="1">
      <alignment vertical="center" wrapText="1"/>
    </xf>
    <xf numFmtId="0" fontId="109" fillId="39" borderId="49" xfId="0" applyFont="1" applyFill="1" applyBorder="1" applyAlignment="1">
      <alignment vertical="center" wrapText="1"/>
    </xf>
    <xf numFmtId="0" fontId="109" fillId="39" borderId="57" xfId="0" applyFont="1" applyFill="1" applyBorder="1" applyAlignment="1">
      <alignment vertical="center" wrapText="1"/>
    </xf>
    <xf numFmtId="0" fontId="109" fillId="39" borderId="42" xfId="0" applyFont="1" applyFill="1" applyBorder="1" applyAlignment="1">
      <alignment vertical="center" wrapText="1"/>
    </xf>
    <xf numFmtId="0" fontId="109" fillId="39" borderId="20" xfId="0" applyFont="1" applyFill="1" applyBorder="1" applyAlignment="1">
      <alignment vertical="center" wrapText="1"/>
    </xf>
    <xf numFmtId="0" fontId="109" fillId="39" borderId="43" xfId="0" applyFont="1" applyFill="1" applyBorder="1" applyAlignment="1">
      <alignment vertical="center" wrapText="1"/>
    </xf>
    <xf numFmtId="0" fontId="108" fillId="39" borderId="47" xfId="0" applyFont="1" applyFill="1" applyBorder="1" applyAlignment="1">
      <alignment vertical="top" wrapText="1"/>
    </xf>
    <xf numFmtId="0" fontId="109" fillId="39" borderId="42" xfId="0" applyFont="1" applyFill="1" applyBorder="1"/>
    <xf numFmtId="0" fontId="109" fillId="39" borderId="43" xfId="0" applyFont="1" applyFill="1" applyBorder="1"/>
    <xf numFmtId="180" fontId="58" fillId="0" borderId="25" xfId="44" applyNumberFormat="1" applyFont="1" applyBorder="1" applyAlignment="1">
      <alignment horizontal="center" vertical="center"/>
    </xf>
    <xf numFmtId="180" fontId="58" fillId="0" borderId="26" xfId="44" applyNumberFormat="1" applyFont="1" applyBorder="1" applyAlignment="1">
      <alignment horizontal="center" vertical="center"/>
    </xf>
    <xf numFmtId="0" fontId="110" fillId="39" borderId="42" xfId="0" applyFont="1" applyFill="1" applyBorder="1" applyAlignment="1">
      <alignment vertical="center" wrapText="1"/>
    </xf>
    <xf numFmtId="0" fontId="110" fillId="39" borderId="43" xfId="0" applyFont="1" applyFill="1" applyBorder="1" applyAlignment="1">
      <alignment vertical="center" wrapText="1"/>
    </xf>
    <xf numFmtId="0" fontId="108" fillId="39" borderId="55" xfId="0" applyFont="1" applyFill="1" applyBorder="1" applyAlignment="1">
      <alignment vertical="center" wrapText="1"/>
    </xf>
    <xf numFmtId="0" fontId="108" fillId="39" borderId="54" xfId="0" applyFont="1" applyFill="1" applyBorder="1" applyAlignment="1">
      <alignment vertical="center" wrapText="1"/>
    </xf>
    <xf numFmtId="0" fontId="111" fillId="0" borderId="55" xfId="0" applyFont="1" applyBorder="1" applyAlignment="1">
      <alignment vertical="center" wrapText="1"/>
    </xf>
    <xf numFmtId="0" fontId="111" fillId="0" borderId="19" xfId="0" applyFont="1" applyBorder="1" applyAlignment="1">
      <alignment vertical="center" wrapText="1"/>
    </xf>
    <xf numFmtId="0" fontId="108" fillId="39" borderId="43" xfId="0" applyFont="1" applyFill="1" applyBorder="1" applyAlignment="1">
      <alignment vertical="center" wrapText="1"/>
    </xf>
    <xf numFmtId="0" fontId="109" fillId="39" borderId="26" xfId="0" applyFont="1" applyFill="1" applyBorder="1" applyAlignment="1">
      <alignment vertical="center" wrapText="1"/>
    </xf>
    <xf numFmtId="179" fontId="43" fillId="0" borderId="42" xfId="44" applyNumberFormat="1" applyFont="1" applyBorder="1" applyAlignment="1">
      <alignment horizontal="center"/>
    </xf>
    <xf numFmtId="179" fontId="43" fillId="0" borderId="43" xfId="44" applyNumberFormat="1" applyFont="1" applyBorder="1" applyAlignment="1">
      <alignment horizontal="center"/>
    </xf>
    <xf numFmtId="179" fontId="43" fillId="0" borderId="10" xfId="44" applyNumberFormat="1" applyFont="1" applyBorder="1" applyAlignment="1">
      <alignment horizontal="center"/>
    </xf>
    <xf numFmtId="0" fontId="108" fillId="0" borderId="54" xfId="0" applyFont="1" applyBorder="1"/>
    <xf numFmtId="0" fontId="108" fillId="0" borderId="14" xfId="0" applyFont="1" applyBorder="1"/>
    <xf numFmtId="0" fontId="108" fillId="0" borderId="55" xfId="0" applyFont="1" applyBorder="1"/>
    <xf numFmtId="0" fontId="108" fillId="0" borderId="47" xfId="0" applyFont="1" applyBorder="1" applyAlignment="1">
      <alignment vertical="top" wrapText="1"/>
    </xf>
    <xf numFmtId="0" fontId="108" fillId="0" borderId="48" xfId="0" applyFont="1" applyBorder="1" applyAlignment="1">
      <alignment vertical="top" wrapText="1"/>
    </xf>
    <xf numFmtId="0" fontId="108" fillId="0" borderId="56" xfId="0" applyFont="1" applyBorder="1" applyAlignment="1">
      <alignment vertical="top" wrapText="1"/>
    </xf>
    <xf numFmtId="180" fontId="58" fillId="32" borderId="10" xfId="44" applyNumberFormat="1" applyFont="1" applyFill="1" applyBorder="1" applyAlignment="1">
      <alignment horizontal="center" vertical="center"/>
    </xf>
    <xf numFmtId="0" fontId="109" fillId="0" borderId="47" xfId="0" applyFont="1" applyBorder="1"/>
    <xf numFmtId="0" fontId="109" fillId="0" borderId="48" xfId="0" applyFont="1" applyBorder="1"/>
    <xf numFmtId="0" fontId="109" fillId="0" borderId="42" xfId="0" applyFont="1" applyBorder="1"/>
    <xf numFmtId="0" fontId="109" fillId="0" borderId="43" xfId="0" applyFont="1" applyBorder="1"/>
    <xf numFmtId="0" fontId="42" fillId="39" borderId="62" xfId="0" applyFont="1" applyFill="1" applyBorder="1" applyAlignment="1">
      <alignment horizontal="left" vertical="center"/>
    </xf>
    <xf numFmtId="0" fontId="42" fillId="39" borderId="61" xfId="0" applyFont="1" applyFill="1" applyBorder="1" applyAlignment="1">
      <alignment horizontal="left" vertical="center"/>
    </xf>
    <xf numFmtId="0" fontId="42" fillId="39" borderId="60" xfId="0" applyFont="1" applyFill="1" applyBorder="1" applyAlignment="1">
      <alignment horizontal="left" vertical="center"/>
    </xf>
    <xf numFmtId="179" fontId="42" fillId="32" borderId="42" xfId="44" applyNumberFormat="1" applyFont="1" applyFill="1" applyBorder="1" applyAlignment="1">
      <alignment horizontal="center"/>
    </xf>
    <xf numFmtId="0" fontId="108" fillId="39" borderId="42" xfId="0" applyFont="1" applyFill="1" applyBorder="1" applyAlignment="1">
      <alignment vertical="center" wrapText="1"/>
    </xf>
    <xf numFmtId="0" fontId="108" fillId="39" borderId="54" xfId="0" applyFont="1" applyFill="1" applyBorder="1" applyAlignment="1">
      <alignment vertical="top" wrapText="1"/>
    </xf>
    <xf numFmtId="0" fontId="108" fillId="39" borderId="55" xfId="0" applyFont="1" applyFill="1" applyBorder="1" applyAlignment="1">
      <alignment vertical="top" wrapText="1"/>
    </xf>
    <xf numFmtId="182" fontId="109" fillId="39" borderId="43" xfId="44" applyNumberFormat="1" applyFont="1" applyFill="1" applyBorder="1" applyAlignment="1">
      <alignment vertical="center" wrapText="1"/>
    </xf>
    <xf numFmtId="0" fontId="109" fillId="0" borderId="42" xfId="0" applyFont="1" applyBorder="1" applyAlignment="1">
      <alignment vertical="top" wrapText="1"/>
    </xf>
    <xf numFmtId="0" fontId="109" fillId="0" borderId="10" xfId="0" applyFont="1" applyBorder="1" applyAlignment="1">
      <alignment vertical="top" wrapText="1"/>
    </xf>
    <xf numFmtId="0" fontId="109" fillId="0" borderId="43" xfId="0" applyFont="1" applyBorder="1" applyAlignment="1">
      <alignment vertical="top" wrapText="1"/>
    </xf>
    <xf numFmtId="180" fontId="107" fillId="32" borderId="42" xfId="44" applyNumberFormat="1" applyFont="1" applyFill="1" applyBorder="1" applyAlignment="1">
      <alignment horizontal="center"/>
    </xf>
    <xf numFmtId="180" fontId="107" fillId="32" borderId="43" xfId="44" applyNumberFormat="1" applyFont="1" applyFill="1" applyBorder="1" applyAlignment="1">
      <alignment horizontal="center"/>
    </xf>
    <xf numFmtId="0" fontId="34" fillId="0" borderId="0" xfId="90" applyProtection="1">
      <alignment vertical="center"/>
      <protection locked="0"/>
    </xf>
    <xf numFmtId="0" fontId="34" fillId="0" borderId="0" xfId="90">
      <alignment vertical="center"/>
    </xf>
    <xf numFmtId="0" fontId="106" fillId="0" borderId="0" xfId="90" applyFont="1">
      <alignment vertical="center"/>
    </xf>
    <xf numFmtId="0" fontId="106" fillId="0" borderId="0" xfId="90" applyFont="1" applyProtection="1">
      <alignment vertical="center"/>
      <protection locked="0"/>
    </xf>
    <xf numFmtId="0" fontId="38" fillId="0" borderId="47" xfId="0" applyFont="1" applyBorder="1" applyAlignment="1">
      <alignment vertical="top" wrapText="1"/>
    </xf>
    <xf numFmtId="0" fontId="107" fillId="0" borderId="42" xfId="0" applyFont="1" applyBorder="1" applyAlignment="1">
      <alignment vertical="top" wrapText="1"/>
    </xf>
    <xf numFmtId="180" fontId="38" fillId="32" borderId="42" xfId="44" applyNumberFormat="1" applyFont="1" applyFill="1" applyBorder="1" applyAlignment="1">
      <alignment horizontal="center"/>
    </xf>
    <xf numFmtId="180" fontId="42" fillId="32" borderId="42" xfId="44" applyNumberFormat="1" applyFont="1" applyFill="1" applyBorder="1" applyAlignment="1">
      <alignment horizontal="center" vertical="center"/>
    </xf>
    <xf numFmtId="0" fontId="38" fillId="0" borderId="56" xfId="0" applyFont="1" applyBorder="1" applyAlignment="1">
      <alignment vertical="top" wrapText="1"/>
    </xf>
    <xf numFmtId="0" fontId="107" fillId="0" borderId="10" xfId="0" applyFont="1" applyBorder="1" applyAlignment="1">
      <alignment vertical="top" wrapText="1"/>
    </xf>
    <xf numFmtId="179" fontId="38" fillId="32" borderId="10" xfId="44" applyNumberFormat="1" applyFont="1" applyFill="1" applyBorder="1" applyAlignment="1">
      <alignment horizontal="center"/>
    </xf>
    <xf numFmtId="0" fontId="38" fillId="0" borderId="48" xfId="0" applyFont="1" applyBorder="1" applyAlignment="1">
      <alignment vertical="top" wrapText="1"/>
    </xf>
    <xf numFmtId="0" fontId="107" fillId="0" borderId="43" xfId="0" applyFont="1" applyBorder="1" applyAlignment="1">
      <alignment vertical="top" wrapText="1"/>
    </xf>
    <xf numFmtId="0" fontId="38" fillId="0" borderId="49" xfId="0" applyFont="1" applyBorder="1" applyAlignment="1">
      <alignment vertical="top" wrapText="1"/>
    </xf>
    <xf numFmtId="0" fontId="107" fillId="0" borderId="26" xfId="0" applyFont="1" applyBorder="1" applyAlignment="1">
      <alignment vertical="top" wrapText="1"/>
    </xf>
    <xf numFmtId="0" fontId="43" fillId="32" borderId="25" xfId="44" quotePrefix="1" applyFont="1" applyFill="1" applyBorder="1" applyAlignment="1">
      <alignment vertical="center"/>
    </xf>
    <xf numFmtId="0" fontId="43" fillId="32" borderId="64" xfId="44" quotePrefix="1" applyFont="1" applyFill="1" applyBorder="1" applyAlignment="1">
      <alignment vertical="center"/>
    </xf>
    <xf numFmtId="180" fontId="107" fillId="32" borderId="10" xfId="44" applyNumberFormat="1" applyFont="1" applyFill="1" applyBorder="1" applyAlignment="1">
      <alignment horizontal="center"/>
    </xf>
    <xf numFmtId="0" fontId="73" fillId="33" borderId="63" xfId="0" applyFont="1" applyFill="1" applyBorder="1" applyAlignment="1">
      <alignment horizontal="center" vertical="center"/>
    </xf>
    <xf numFmtId="0" fontId="73" fillId="33" borderId="62" xfId="0" applyFont="1" applyFill="1" applyBorder="1" applyAlignment="1">
      <alignment horizontal="center" vertical="center"/>
    </xf>
    <xf numFmtId="0" fontId="73" fillId="33" borderId="47" xfId="0" applyFont="1" applyFill="1" applyBorder="1" applyAlignment="1">
      <alignment horizontal="center" vertical="center"/>
    </xf>
    <xf numFmtId="0" fontId="73" fillId="33" borderId="48" xfId="0" applyFont="1" applyFill="1" applyBorder="1" applyAlignment="1">
      <alignment horizontal="center" vertical="center"/>
    </xf>
    <xf numFmtId="181" fontId="43" fillId="32" borderId="44" xfId="44" applyNumberFormat="1" applyFont="1" applyFill="1" applyBorder="1" applyAlignment="1">
      <alignment horizontal="left" vertical="center" wrapText="1"/>
    </xf>
    <xf numFmtId="181" fontId="43" fillId="32" borderId="25" xfId="44" applyNumberFormat="1" applyFont="1" applyFill="1" applyBorder="1" applyAlignment="1">
      <alignment horizontal="left" vertical="center" wrapText="1"/>
    </xf>
    <xf numFmtId="181" fontId="43" fillId="32" borderId="64" xfId="44" applyNumberFormat="1" applyFont="1" applyFill="1" applyBorder="1" applyAlignment="1">
      <alignment horizontal="left" vertical="center" wrapText="1"/>
    </xf>
    <xf numFmtId="181" fontId="43" fillId="32" borderId="44" xfId="44" applyNumberFormat="1" applyFont="1" applyFill="1" applyBorder="1" applyAlignment="1">
      <alignment horizontal="center" vertical="center" wrapText="1"/>
    </xf>
    <xf numFmtId="181" fontId="43" fillId="32" borderId="25" xfId="44" applyNumberFormat="1" applyFont="1" applyFill="1" applyBorder="1" applyAlignment="1">
      <alignment horizontal="center" vertical="center" wrapText="1"/>
    </xf>
    <xf numFmtId="181" fontId="43" fillId="32" borderId="64" xfId="44" applyNumberFormat="1" applyFont="1" applyFill="1" applyBorder="1" applyAlignment="1">
      <alignment horizontal="center" vertical="center" wrapText="1"/>
    </xf>
    <xf numFmtId="0" fontId="43" fillId="32" borderId="59" xfId="44" applyFont="1" applyFill="1" applyBorder="1" applyAlignment="1">
      <alignment horizontal="center" vertical="center" wrapText="1"/>
    </xf>
    <xf numFmtId="0" fontId="43" fillId="32" borderId="22" xfId="44" applyFont="1" applyFill="1" applyBorder="1" applyAlignment="1">
      <alignment horizontal="center" vertical="center" wrapText="1"/>
    </xf>
    <xf numFmtId="0" fontId="43" fillId="32" borderId="65" xfId="44" applyFont="1" applyFill="1" applyBorder="1" applyAlignment="1">
      <alignment horizontal="center" vertical="center" wrapText="1"/>
    </xf>
    <xf numFmtId="0" fontId="43" fillId="0" borderId="46" xfId="0" applyFont="1" applyBorder="1" applyAlignment="1">
      <alignment horizontal="center" vertical="center"/>
    </xf>
    <xf numFmtId="0" fontId="43" fillId="0" borderId="66" xfId="0" applyFont="1" applyBorder="1" applyAlignment="1">
      <alignment horizontal="center" vertical="center"/>
    </xf>
    <xf numFmtId="0" fontId="43" fillId="0" borderId="67" xfId="0" applyFont="1" applyBorder="1" applyAlignment="1">
      <alignment horizontal="center" vertical="center"/>
    </xf>
    <xf numFmtId="0" fontId="36" fillId="32" borderId="0" xfId="44" applyFont="1" applyFill="1" applyAlignment="1">
      <alignment horizontal="left"/>
    </xf>
    <xf numFmtId="181" fontId="78" fillId="32" borderId="44" xfId="44" applyNumberFormat="1" applyFont="1" applyFill="1" applyBorder="1" applyAlignment="1">
      <alignment horizontal="left" vertical="center" wrapText="1"/>
    </xf>
    <xf numFmtId="181" fontId="78" fillId="32" borderId="25" xfId="44" applyNumberFormat="1" applyFont="1" applyFill="1" applyBorder="1" applyAlignment="1">
      <alignment horizontal="left" vertical="center" wrapText="1"/>
    </xf>
    <xf numFmtId="181" fontId="78" fillId="32" borderId="64" xfId="44" applyNumberFormat="1" applyFont="1" applyFill="1" applyBorder="1" applyAlignment="1">
      <alignment horizontal="left" vertical="center" wrapText="1"/>
    </xf>
    <xf numFmtId="0" fontId="78" fillId="0" borderId="42" xfId="44" quotePrefix="1" applyFont="1" applyBorder="1" applyAlignment="1">
      <alignment horizontal="left" vertical="center"/>
    </xf>
    <xf numFmtId="0" fontId="78" fillId="0" borderId="43" xfId="44" applyFont="1" applyBorder="1" applyAlignment="1">
      <alignment horizontal="left" vertical="center"/>
    </xf>
    <xf numFmtId="181" fontId="78" fillId="32" borderId="44" xfId="44" applyNumberFormat="1" applyFont="1" applyFill="1" applyBorder="1" applyAlignment="1">
      <alignment horizontal="center" vertical="center" wrapText="1"/>
    </xf>
    <xf numFmtId="181" fontId="78" fillId="32" borderId="25" xfId="44" applyNumberFormat="1" applyFont="1" applyFill="1" applyBorder="1" applyAlignment="1">
      <alignment horizontal="center" vertical="center" wrapText="1"/>
    </xf>
    <xf numFmtId="181" fontId="78" fillId="32" borderId="64" xfId="44" applyNumberFormat="1" applyFont="1" applyFill="1" applyBorder="1" applyAlignment="1">
      <alignment horizontal="center" vertical="center" wrapText="1"/>
    </xf>
    <xf numFmtId="0" fontId="78" fillId="0" borderId="44" xfId="44" quotePrefix="1" applyFont="1" applyBorder="1" applyAlignment="1">
      <alignment horizontal="center" vertical="center"/>
    </xf>
    <xf numFmtId="0" fontId="78" fillId="0" borderId="64" xfId="44" quotePrefix="1" applyFont="1" applyBorder="1" applyAlignment="1">
      <alignment horizontal="center" vertical="center"/>
    </xf>
    <xf numFmtId="0" fontId="78" fillId="0" borderId="63" xfId="44" applyFont="1" applyBorder="1" applyAlignment="1">
      <alignment horizontal="center" vertical="center" wrapText="1"/>
    </xf>
    <xf numFmtId="0" fontId="78" fillId="0" borderId="62" xfId="44" applyFont="1" applyBorder="1" applyAlignment="1">
      <alignment horizontal="center" vertical="center" wrapText="1"/>
    </xf>
    <xf numFmtId="0" fontId="78" fillId="0" borderId="44" xfId="44" applyFont="1" applyBorder="1" applyAlignment="1">
      <alignment horizontal="left" vertical="center"/>
    </xf>
    <xf numFmtId="0" fontId="78" fillId="0" borderId="64" xfId="44" applyFont="1" applyBorder="1" applyAlignment="1">
      <alignment horizontal="left" vertical="center"/>
    </xf>
    <xf numFmtId="0" fontId="78" fillId="0" borderId="64" xfId="44" quotePrefix="1" applyFont="1" applyBorder="1" applyAlignment="1">
      <alignment horizontal="left" vertical="center"/>
    </xf>
    <xf numFmtId="181" fontId="78" fillId="32" borderId="46" xfId="44" applyNumberFormat="1" applyFont="1" applyFill="1" applyBorder="1" applyAlignment="1">
      <alignment horizontal="center" vertical="center" wrapText="1"/>
    </xf>
    <xf numFmtId="181" fontId="78" fillId="32" borderId="66" xfId="44" applyNumberFormat="1" applyFont="1" applyFill="1" applyBorder="1" applyAlignment="1">
      <alignment horizontal="center" vertical="center" wrapText="1"/>
    </xf>
    <xf numFmtId="0" fontId="78" fillId="0" borderId="44" xfId="44" applyFont="1" applyBorder="1" applyAlignment="1">
      <alignment horizontal="center" vertical="center"/>
    </xf>
    <xf numFmtId="0" fontId="78" fillId="0" borderId="64" xfId="44" applyFont="1" applyBorder="1" applyAlignment="1">
      <alignment horizontal="center" vertical="center"/>
    </xf>
    <xf numFmtId="0" fontId="78" fillId="0" borderId="44" xfId="44" quotePrefix="1" applyFont="1" applyBorder="1" applyAlignment="1">
      <alignment horizontal="left" vertical="center"/>
    </xf>
    <xf numFmtId="0" fontId="78" fillId="0" borderId="63" xfId="0" applyFont="1" applyBorder="1" applyAlignment="1">
      <alignment horizontal="center" vertical="center"/>
    </xf>
    <xf numFmtId="0" fontId="78" fillId="0" borderId="61" xfId="0" applyFont="1" applyBorder="1" applyAlignment="1">
      <alignment horizontal="center" vertical="center"/>
    </xf>
    <xf numFmtId="0" fontId="78" fillId="0" borderId="68" xfId="0" applyFont="1" applyBorder="1" applyAlignment="1">
      <alignment horizontal="center" vertical="center"/>
    </xf>
    <xf numFmtId="0" fontId="78" fillId="0" borderId="42" xfId="44" quotePrefix="1" applyFont="1" applyBorder="1" applyAlignment="1">
      <alignment horizontal="center" vertical="center"/>
    </xf>
    <xf numFmtId="0" fontId="78" fillId="0" borderId="43" xfId="44" applyFont="1" applyBorder="1" applyAlignment="1">
      <alignment horizontal="center" vertical="center"/>
    </xf>
    <xf numFmtId="181" fontId="78" fillId="32" borderId="42" xfId="44" applyNumberFormat="1" applyFont="1" applyFill="1" applyBorder="1" applyAlignment="1">
      <alignment horizontal="left" vertical="center" wrapText="1"/>
    </xf>
    <xf numFmtId="0" fontId="87" fillId="0" borderId="10" xfId="0" applyFont="1" applyBorder="1" applyAlignment="1">
      <alignment horizontal="left" vertical="center"/>
    </xf>
    <xf numFmtId="181" fontId="78" fillId="32" borderId="42" xfId="44" applyNumberFormat="1" applyFont="1" applyFill="1" applyBorder="1" applyAlignment="1">
      <alignment horizontal="center" vertical="center" wrapText="1"/>
    </xf>
    <xf numFmtId="0" fontId="87" fillId="0" borderId="10" xfId="0" applyFont="1" applyBorder="1" applyAlignment="1">
      <alignment horizontal="center" vertical="center"/>
    </xf>
    <xf numFmtId="0" fontId="43" fillId="32" borderId="46" xfId="44" applyFont="1" applyFill="1" applyBorder="1" applyAlignment="1">
      <alignment horizontal="center" vertical="center" wrapText="1"/>
    </xf>
    <xf numFmtId="0" fontId="43" fillId="32" borderId="67" xfId="44" applyFont="1" applyFill="1" applyBorder="1" applyAlignment="1">
      <alignment horizontal="center" vertical="center" wrapText="1"/>
    </xf>
    <xf numFmtId="0" fontId="43" fillId="32" borderId="66" xfId="44" applyFont="1" applyFill="1" applyBorder="1" applyAlignment="1">
      <alignment horizontal="center" vertical="center" wrapText="1"/>
    </xf>
    <xf numFmtId="0" fontId="43" fillId="0" borderId="46" xfId="44" applyFont="1" applyBorder="1" applyAlignment="1">
      <alignment horizontal="center" vertical="center"/>
    </xf>
    <xf numFmtId="0" fontId="43" fillId="0" borderId="67" xfId="44" applyFont="1" applyBorder="1" applyAlignment="1">
      <alignment horizontal="center" vertical="center"/>
    </xf>
    <xf numFmtId="0" fontId="43" fillId="0" borderId="44" xfId="44" applyFont="1" applyBorder="1" applyAlignment="1">
      <alignment horizontal="left" vertical="center"/>
    </xf>
    <xf numFmtId="0" fontId="43" fillId="0" borderId="64" xfId="44" applyFont="1" applyBorder="1" applyAlignment="1">
      <alignment horizontal="left" vertical="center"/>
    </xf>
    <xf numFmtId="0" fontId="43" fillId="0" borderId="44" xfId="44" applyFont="1" applyBorder="1" applyAlignment="1">
      <alignment horizontal="center" vertical="center"/>
    </xf>
    <xf numFmtId="0" fontId="43" fillId="0" borderId="64" xfId="44" applyFont="1" applyBorder="1" applyAlignment="1">
      <alignment horizontal="center" vertical="center"/>
    </xf>
    <xf numFmtId="181" fontId="43" fillId="32" borderId="44" xfId="44" quotePrefix="1" applyNumberFormat="1" applyFont="1" applyFill="1" applyBorder="1" applyAlignment="1">
      <alignment horizontal="center" vertical="center" wrapText="1"/>
    </xf>
    <xf numFmtId="181" fontId="43" fillId="32" borderId="25" xfId="44" quotePrefix="1" applyNumberFormat="1" applyFont="1" applyFill="1" applyBorder="1" applyAlignment="1">
      <alignment horizontal="center" vertical="center" wrapText="1"/>
    </xf>
    <xf numFmtId="181" fontId="43" fillId="32" borderId="20" xfId="44" quotePrefix="1" applyNumberFormat="1" applyFont="1" applyFill="1" applyBorder="1" applyAlignment="1">
      <alignment horizontal="center" vertical="center" wrapText="1"/>
    </xf>
    <xf numFmtId="181" fontId="43" fillId="32" borderId="26" xfId="44" quotePrefix="1" applyNumberFormat="1" applyFont="1" applyFill="1" applyBorder="1" applyAlignment="1">
      <alignment horizontal="center" vertical="center" wrapText="1"/>
    </xf>
    <xf numFmtId="0" fontId="3" fillId="0" borderId="10" xfId="0" quotePrefix="1" applyFont="1" applyBorder="1" applyAlignment="1">
      <alignment horizontal="center" vertical="center"/>
    </xf>
    <xf numFmtId="0" fontId="3" fillId="0" borderId="43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61" xfId="0" applyFont="1" applyBorder="1" applyAlignment="1">
      <alignment horizontal="center" vertical="center"/>
    </xf>
    <xf numFmtId="0" fontId="3" fillId="0" borderId="62" xfId="0" applyFont="1" applyBorder="1" applyAlignment="1">
      <alignment horizontal="center" vertical="center"/>
    </xf>
    <xf numFmtId="181" fontId="43" fillId="32" borderId="20" xfId="44" applyNumberFormat="1" applyFont="1" applyFill="1" applyBorder="1" applyAlignment="1">
      <alignment horizontal="center" vertical="center" wrapText="1"/>
    </xf>
    <xf numFmtId="0" fontId="43" fillId="32" borderId="46" xfId="44" applyFont="1" applyFill="1" applyBorder="1" applyAlignment="1">
      <alignment horizontal="center" vertical="center"/>
    </xf>
    <xf numFmtId="0" fontId="43" fillId="32" borderId="66" xfId="44" applyFont="1" applyFill="1" applyBorder="1" applyAlignment="1">
      <alignment horizontal="center" vertical="center"/>
    </xf>
    <xf numFmtId="0" fontId="43" fillId="32" borderId="68" xfId="44" applyFont="1" applyFill="1" applyBorder="1" applyAlignment="1">
      <alignment horizontal="center" vertical="center"/>
    </xf>
    <xf numFmtId="0" fontId="43" fillId="32" borderId="60" xfId="44" applyFont="1" applyFill="1" applyBorder="1" applyAlignment="1">
      <alignment horizontal="center" vertical="center"/>
    </xf>
    <xf numFmtId="181" fontId="43" fillId="32" borderId="46" xfId="44" applyNumberFormat="1" applyFont="1" applyFill="1" applyBorder="1" applyAlignment="1">
      <alignment horizontal="center" vertical="center" wrapText="1"/>
    </xf>
    <xf numFmtId="181" fontId="43" fillId="32" borderId="66" xfId="44" applyNumberFormat="1" applyFont="1" applyFill="1" applyBorder="1" applyAlignment="1">
      <alignment horizontal="center" vertical="center" wrapText="1"/>
    </xf>
    <xf numFmtId="181" fontId="43" fillId="32" borderId="67" xfId="44" applyNumberFormat="1" applyFont="1" applyFill="1" applyBorder="1" applyAlignment="1">
      <alignment horizontal="center" vertical="center" wrapText="1"/>
    </xf>
    <xf numFmtId="0" fontId="43" fillId="32" borderId="42" xfId="44" quotePrefix="1" applyFont="1" applyFill="1" applyBorder="1" applyAlignment="1">
      <alignment horizontal="center" vertical="center"/>
    </xf>
    <xf numFmtId="0" fontId="43" fillId="32" borderId="10" xfId="44" quotePrefix="1" applyFont="1" applyFill="1" applyBorder="1" applyAlignment="1">
      <alignment horizontal="center" vertical="center"/>
    </xf>
    <xf numFmtId="0" fontId="43" fillId="32" borderId="43" xfId="44" quotePrefix="1" applyFont="1" applyFill="1" applyBorder="1" applyAlignment="1">
      <alignment horizontal="center" vertical="center"/>
    </xf>
    <xf numFmtId="0" fontId="43" fillId="32" borderId="20" xfId="44" quotePrefix="1" applyFont="1" applyFill="1" applyBorder="1" applyAlignment="1">
      <alignment horizontal="center" vertical="center"/>
    </xf>
    <xf numFmtId="0" fontId="89" fillId="0" borderId="43" xfId="44" applyFont="1" applyBorder="1" applyAlignment="1">
      <alignment horizontal="center" vertical="center"/>
    </xf>
    <xf numFmtId="181" fontId="78" fillId="32" borderId="67" xfId="44" applyNumberFormat="1" applyFont="1" applyFill="1" applyBorder="1" applyAlignment="1">
      <alignment horizontal="center" vertical="center" wrapText="1"/>
    </xf>
    <xf numFmtId="0" fontId="43" fillId="32" borderId="25" xfId="44" applyFont="1" applyFill="1" applyBorder="1" applyAlignment="1">
      <alignment horizontal="center" vertical="center" wrapText="1"/>
    </xf>
    <xf numFmtId="0" fontId="43" fillId="32" borderId="64" xfId="44" applyFont="1" applyFill="1" applyBorder="1" applyAlignment="1">
      <alignment horizontal="center" vertical="center" wrapText="1"/>
    </xf>
    <xf numFmtId="181" fontId="43" fillId="32" borderId="60" xfId="44" applyNumberFormat="1" applyFont="1" applyFill="1" applyBorder="1" applyAlignment="1">
      <alignment horizontal="center" vertical="center" wrapText="1"/>
    </xf>
    <xf numFmtId="181" fontId="43" fillId="32" borderId="61" xfId="44" applyNumberFormat="1" applyFont="1" applyFill="1" applyBorder="1" applyAlignment="1">
      <alignment horizontal="center" vertical="center" wrapText="1"/>
    </xf>
    <xf numFmtId="181" fontId="43" fillId="32" borderId="62" xfId="44" applyNumberFormat="1" applyFont="1" applyFill="1" applyBorder="1" applyAlignment="1">
      <alignment horizontal="center" vertical="center" wrapText="1"/>
    </xf>
    <xf numFmtId="0" fontId="43" fillId="32" borderId="20" xfId="44" applyFont="1" applyFill="1" applyBorder="1" applyAlignment="1">
      <alignment horizontal="left" vertical="center" wrapText="1"/>
    </xf>
    <xf numFmtId="0" fontId="43" fillId="32" borderId="25" xfId="44" applyFont="1" applyFill="1" applyBorder="1" applyAlignment="1">
      <alignment horizontal="left" vertical="center" wrapText="1"/>
    </xf>
    <xf numFmtId="0" fontId="43" fillId="32" borderId="64" xfId="44" applyFont="1" applyFill="1" applyBorder="1" applyAlignment="1">
      <alignment horizontal="left" vertical="center" wrapText="1"/>
    </xf>
    <xf numFmtId="181" fontId="43" fillId="32" borderId="59" xfId="44" applyNumberFormat="1" applyFont="1" applyFill="1" applyBorder="1" applyAlignment="1">
      <alignment horizontal="center" vertical="center" wrapText="1"/>
    </xf>
    <xf numFmtId="181" fontId="43" fillId="32" borderId="22" xfId="44" applyNumberFormat="1" applyFont="1" applyFill="1" applyBorder="1" applyAlignment="1">
      <alignment horizontal="center" vertical="center" wrapText="1"/>
    </xf>
    <xf numFmtId="181" fontId="43" fillId="32" borderId="65" xfId="44" applyNumberFormat="1" applyFont="1" applyFill="1" applyBorder="1" applyAlignment="1">
      <alignment horizontal="center" vertical="center" wrapText="1"/>
    </xf>
    <xf numFmtId="180" fontId="42" fillId="32" borderId="42" xfId="44" applyNumberFormat="1" applyFont="1" applyFill="1" applyBorder="1" applyAlignment="1">
      <alignment horizontal="center" vertical="center"/>
    </xf>
    <xf numFmtId="180" fontId="42" fillId="32" borderId="10" xfId="44" applyNumberFormat="1" applyFont="1" applyFill="1" applyBorder="1" applyAlignment="1">
      <alignment horizontal="center" vertical="center"/>
    </xf>
    <xf numFmtId="180" fontId="42" fillId="32" borderId="20" xfId="44" applyNumberFormat="1" applyFont="1" applyFill="1" applyBorder="1" applyAlignment="1">
      <alignment horizontal="center" vertical="center"/>
    </xf>
    <xf numFmtId="180" fontId="42" fillId="32" borderId="43" xfId="44" applyNumberFormat="1" applyFont="1" applyFill="1" applyBorder="1" applyAlignment="1">
      <alignment horizontal="center" vertical="center"/>
    </xf>
    <xf numFmtId="0" fontId="43" fillId="32" borderId="46" xfId="44" quotePrefix="1" applyFont="1" applyFill="1" applyBorder="1" applyAlignment="1">
      <alignment horizontal="center" vertical="center" wrapText="1"/>
    </xf>
    <xf numFmtId="0" fontId="43" fillId="32" borderId="66" xfId="44" quotePrefix="1" applyFont="1" applyFill="1" applyBorder="1" applyAlignment="1">
      <alignment horizontal="center" vertical="center" wrapText="1"/>
    </xf>
    <xf numFmtId="0" fontId="43" fillId="32" borderId="67" xfId="44" quotePrefix="1" applyFont="1" applyFill="1" applyBorder="1" applyAlignment="1">
      <alignment horizontal="center" vertical="center" wrapText="1"/>
    </xf>
    <xf numFmtId="180" fontId="42" fillId="32" borderId="45" xfId="44" applyNumberFormat="1" applyFont="1" applyFill="1" applyBorder="1" applyAlignment="1">
      <alignment horizontal="center" vertical="center"/>
    </xf>
    <xf numFmtId="180" fontId="42" fillId="32" borderId="76" xfId="44" applyNumberFormat="1" applyFont="1" applyFill="1" applyBorder="1" applyAlignment="1">
      <alignment horizontal="center" vertical="center"/>
    </xf>
    <xf numFmtId="180" fontId="42" fillId="32" borderId="75" xfId="44" applyNumberFormat="1" applyFont="1" applyFill="1" applyBorder="1" applyAlignment="1">
      <alignment horizontal="center" vertical="center"/>
    </xf>
    <xf numFmtId="180" fontId="42" fillId="32" borderId="44" xfId="44" applyNumberFormat="1" applyFont="1" applyFill="1" applyBorder="1" applyAlignment="1">
      <alignment horizontal="center" vertical="center"/>
    </xf>
    <xf numFmtId="180" fontId="42" fillId="32" borderId="25" xfId="44" applyNumberFormat="1" applyFont="1" applyFill="1" applyBorder="1" applyAlignment="1">
      <alignment horizontal="center" vertical="center"/>
    </xf>
    <xf numFmtId="180" fontId="42" fillId="32" borderId="64" xfId="44" applyNumberFormat="1" applyFont="1" applyFill="1" applyBorder="1" applyAlignment="1">
      <alignment horizontal="center" vertical="center"/>
    </xf>
    <xf numFmtId="0" fontId="43" fillId="32" borderId="44" xfId="44" quotePrefix="1" applyFont="1" applyFill="1" applyBorder="1" applyAlignment="1">
      <alignment horizontal="center" vertical="center"/>
    </xf>
    <xf numFmtId="0" fontId="43" fillId="32" borderId="25" xfId="44" quotePrefix="1" applyFont="1" applyFill="1" applyBorder="1" applyAlignment="1">
      <alignment horizontal="center" vertical="center"/>
    </xf>
    <xf numFmtId="0" fontId="43" fillId="32" borderId="64" xfId="44" quotePrefix="1" applyFont="1" applyFill="1" applyBorder="1" applyAlignment="1">
      <alignment horizontal="center" vertical="center"/>
    </xf>
    <xf numFmtId="180" fontId="106" fillId="32" borderId="44" xfId="44" applyNumberFormat="1" applyFont="1" applyFill="1" applyBorder="1" applyAlignment="1">
      <alignment horizontal="center" vertical="center"/>
    </xf>
    <xf numFmtId="180" fontId="106" fillId="32" borderId="25" xfId="44" applyNumberFormat="1" applyFont="1" applyFill="1" applyBorder="1" applyAlignment="1">
      <alignment horizontal="center" vertical="center"/>
    </xf>
    <xf numFmtId="180" fontId="106" fillId="32" borderId="64" xfId="44" applyNumberFormat="1" applyFont="1" applyFill="1" applyBorder="1" applyAlignment="1">
      <alignment horizontal="center" vertical="center"/>
    </xf>
    <xf numFmtId="0" fontId="43" fillId="32" borderId="43" xfId="44" applyFont="1" applyFill="1" applyBorder="1" applyAlignment="1">
      <alignment horizontal="center" vertical="center"/>
    </xf>
    <xf numFmtId="181" fontId="43" fillId="32" borderId="42" xfId="44" applyNumberFormat="1" applyFont="1" applyFill="1" applyBorder="1" applyAlignment="1">
      <alignment horizontal="center" vertical="center" wrapText="1"/>
    </xf>
    <xf numFmtId="181" fontId="43" fillId="32" borderId="43" xfId="44" applyNumberFormat="1" applyFont="1" applyFill="1" applyBorder="1" applyAlignment="1">
      <alignment horizontal="center" vertical="center" wrapText="1"/>
    </xf>
    <xf numFmtId="181" fontId="43" fillId="32" borderId="63" xfId="44" applyNumberFormat="1" applyFont="1" applyFill="1" applyBorder="1" applyAlignment="1">
      <alignment horizontal="center" vertical="center" wrapText="1"/>
    </xf>
    <xf numFmtId="0" fontId="9" fillId="27" borderId="12" xfId="0" applyFont="1" applyFill="1" applyBorder="1" applyAlignment="1" applyProtection="1">
      <alignment horizontal="left" vertical="center"/>
      <protection hidden="1"/>
    </xf>
    <xf numFmtId="0" fontId="0" fillId="0" borderId="12" xfId="0" applyBorder="1" applyAlignment="1" applyProtection="1">
      <alignment horizontal="left"/>
      <protection hidden="1"/>
    </xf>
    <xf numFmtId="0" fontId="9" fillId="27" borderId="21" xfId="0" applyFont="1" applyFill="1" applyBorder="1" applyAlignment="1">
      <alignment vertical="center"/>
    </xf>
    <xf numFmtId="0" fontId="9" fillId="27" borderId="13" xfId="0" applyFont="1" applyFill="1" applyBorder="1" applyAlignment="1">
      <alignment vertical="center"/>
    </xf>
    <xf numFmtId="0" fontId="9" fillId="27" borderId="13" xfId="0" applyFont="1" applyFill="1" applyBorder="1" applyAlignment="1" applyProtection="1">
      <alignment horizontal="center" vertical="center"/>
      <protection hidden="1"/>
    </xf>
    <xf numFmtId="0" fontId="9" fillId="27" borderId="0" xfId="0" applyFont="1" applyFill="1" applyAlignment="1">
      <alignment vertical="center"/>
    </xf>
    <xf numFmtId="0" fontId="9" fillId="27" borderId="0" xfId="0" applyFont="1" applyFill="1" applyAlignment="1" applyProtection="1">
      <alignment horizontal="center" vertical="center"/>
      <protection hidden="1"/>
    </xf>
    <xf numFmtId="0" fontId="0" fillId="0" borderId="0" xfId="0" applyAlignment="1">
      <alignment vertical="center"/>
    </xf>
    <xf numFmtId="0" fontId="9" fillId="27" borderId="69" xfId="0" applyFont="1" applyFill="1" applyBorder="1" applyAlignment="1">
      <alignment vertical="center"/>
    </xf>
    <xf numFmtId="0" fontId="9" fillId="27" borderId="17" xfId="0" applyFont="1" applyFill="1" applyBorder="1" applyAlignment="1">
      <alignment vertical="center"/>
    </xf>
    <xf numFmtId="0" fontId="9" fillId="27" borderId="17" xfId="0" applyFont="1" applyFill="1" applyBorder="1" applyAlignment="1" applyProtection="1">
      <alignment horizontal="center" vertical="center"/>
      <protection hidden="1"/>
    </xf>
    <xf numFmtId="180" fontId="41" fillId="32" borderId="77" xfId="44" applyNumberFormat="1" applyFont="1" applyFill="1" applyBorder="1" applyAlignment="1" applyProtection="1">
      <alignment horizontal="center"/>
      <protection locked="0"/>
    </xf>
    <xf numFmtId="0" fontId="43" fillId="32" borderId="79" xfId="44" quotePrefix="1" applyFont="1" applyFill="1" applyBorder="1" applyAlignment="1">
      <alignment horizontal="center" vertical="center"/>
    </xf>
    <xf numFmtId="0" fontId="43" fillId="32" borderId="80" xfId="44" quotePrefix="1" applyFont="1" applyFill="1" applyBorder="1" applyAlignment="1">
      <alignment horizontal="center" vertical="center"/>
    </xf>
    <xf numFmtId="0" fontId="43" fillId="32" borderId="81" xfId="44" quotePrefix="1" applyFont="1" applyFill="1" applyBorder="1" applyAlignment="1">
      <alignment horizontal="center" vertical="center"/>
    </xf>
    <xf numFmtId="181" fontId="43" fillId="32" borderId="45" xfId="44" applyNumberFormat="1" applyFont="1" applyFill="1" applyBorder="1" applyAlignment="1">
      <alignment horizontal="center" vertical="center" wrapText="1"/>
    </xf>
    <xf numFmtId="181" fontId="43" fillId="32" borderId="76" xfId="44" applyNumberFormat="1" applyFont="1" applyFill="1" applyBorder="1" applyAlignment="1">
      <alignment horizontal="center" vertical="center" wrapText="1"/>
    </xf>
    <xf numFmtId="181" fontId="43" fillId="32" borderId="75" xfId="44" applyNumberFormat="1" applyFont="1" applyFill="1" applyBorder="1" applyAlignment="1">
      <alignment horizontal="center" vertical="center" wrapText="1"/>
    </xf>
    <xf numFmtId="180" fontId="41" fillId="32" borderId="78" xfId="44" applyNumberFormat="1" applyFont="1" applyFill="1" applyBorder="1" applyAlignment="1" applyProtection="1">
      <alignment horizontal="center"/>
      <protection locked="0"/>
    </xf>
    <xf numFmtId="0" fontId="38" fillId="0" borderId="83" xfId="0" applyFont="1" applyBorder="1" applyAlignment="1">
      <alignment vertical="top" wrapText="1"/>
    </xf>
    <xf numFmtId="0" fontId="107" fillId="0" borderId="78" xfId="0" applyFont="1" applyBorder="1" applyAlignment="1">
      <alignment vertical="top" wrapText="1"/>
    </xf>
    <xf numFmtId="179" fontId="109" fillId="32" borderId="42" xfId="44" applyNumberFormat="1" applyFont="1" applyFill="1" applyBorder="1" applyAlignment="1">
      <alignment horizontal="center"/>
    </xf>
    <xf numFmtId="182" fontId="38" fillId="32" borderId="44" xfId="44" applyNumberFormat="1" applyFont="1" applyFill="1" applyBorder="1" applyAlignment="1">
      <alignment horizontal="center"/>
    </xf>
    <xf numFmtId="0" fontId="109" fillId="0" borderId="78" xfId="0" applyFont="1" applyBorder="1" applyAlignment="1">
      <alignment vertical="top" wrapText="1"/>
    </xf>
    <xf numFmtId="0" fontId="38" fillId="0" borderId="78" xfId="0" applyFont="1" applyBorder="1" applyAlignment="1">
      <alignment horizontal="center" vertical="top" wrapText="1"/>
    </xf>
    <xf numFmtId="179" fontId="109" fillId="32" borderId="78" xfId="44" applyNumberFormat="1" applyFont="1" applyFill="1" applyBorder="1" applyAlignment="1">
      <alignment horizontal="center"/>
    </xf>
    <xf numFmtId="179" fontId="42" fillId="32" borderId="78" xfId="44" applyNumberFormat="1" applyFont="1" applyFill="1" applyBorder="1" applyAlignment="1">
      <alignment horizontal="center"/>
    </xf>
    <xf numFmtId="182" fontId="38" fillId="32" borderId="78" xfId="44" applyNumberFormat="1" applyFont="1" applyFill="1" applyBorder="1" applyAlignment="1">
      <alignment horizontal="center"/>
    </xf>
    <xf numFmtId="180" fontId="41" fillId="32" borderId="78" xfId="44" applyNumberFormat="1" applyFont="1" applyFill="1" applyBorder="1" applyAlignment="1" applyProtection="1">
      <alignment horizontal="center" vertical="center"/>
      <protection locked="0"/>
    </xf>
    <xf numFmtId="0" fontId="43" fillId="32" borderId="78" xfId="44" quotePrefix="1" applyFont="1" applyFill="1" applyBorder="1" applyAlignment="1">
      <alignment horizontal="center" vertical="center"/>
    </xf>
    <xf numFmtId="180" fontId="42" fillId="32" borderId="78" xfId="44" applyNumberFormat="1" applyFont="1" applyFill="1" applyBorder="1" applyAlignment="1">
      <alignment horizontal="center" vertical="center"/>
    </xf>
    <xf numFmtId="181" fontId="43" fillId="32" borderId="84" xfId="44" applyNumberFormat="1" applyFont="1" applyFill="1" applyBorder="1" applyAlignment="1">
      <alignment horizontal="center" vertical="center" wrapText="1"/>
    </xf>
    <xf numFmtId="0" fontId="109" fillId="0" borderId="77" xfId="0" applyFont="1" applyBorder="1" applyAlignment="1">
      <alignment vertical="top" wrapText="1"/>
    </xf>
    <xf numFmtId="0" fontId="38" fillId="0" borderId="77" xfId="0" applyFont="1" applyBorder="1" applyAlignment="1">
      <alignment horizontal="center" vertical="top" wrapText="1"/>
    </xf>
    <xf numFmtId="179" fontId="109" fillId="32" borderId="77" xfId="44" applyNumberFormat="1" applyFont="1" applyFill="1" applyBorder="1" applyAlignment="1">
      <alignment horizontal="center"/>
    </xf>
    <xf numFmtId="179" fontId="42" fillId="32" borderId="77" xfId="44" applyNumberFormat="1" applyFont="1" applyFill="1" applyBorder="1" applyAlignment="1">
      <alignment horizontal="center"/>
    </xf>
    <xf numFmtId="182" fontId="38" fillId="32" borderId="77" xfId="44" applyNumberFormat="1" applyFont="1" applyFill="1" applyBorder="1" applyAlignment="1">
      <alignment horizontal="center"/>
    </xf>
    <xf numFmtId="180" fontId="41" fillId="32" borderId="77" xfId="44" applyNumberFormat="1" applyFont="1" applyFill="1" applyBorder="1" applyAlignment="1" applyProtection="1">
      <alignment horizontal="center" vertical="center"/>
      <protection locked="0"/>
    </xf>
    <xf numFmtId="0" fontId="43" fillId="32" borderId="77" xfId="44" quotePrefix="1" applyFont="1" applyFill="1" applyBorder="1" applyAlignment="1">
      <alignment horizontal="center" vertical="center"/>
    </xf>
    <xf numFmtId="180" fontId="42" fillId="32" borderId="77" xfId="44" applyNumberFormat="1" applyFont="1" applyFill="1" applyBorder="1" applyAlignment="1">
      <alignment horizontal="center" vertical="center"/>
    </xf>
    <xf numFmtId="0" fontId="42" fillId="32" borderId="0" xfId="44" applyFont="1" applyFill="1" applyAlignment="1">
      <alignment horizontal="center"/>
    </xf>
    <xf numFmtId="180" fontId="41" fillId="32" borderId="42" xfId="44" applyNumberFormat="1" applyFont="1" applyFill="1" applyBorder="1" applyAlignment="1" applyProtection="1">
      <alignment horizontal="center"/>
    </xf>
    <xf numFmtId="180" fontId="41" fillId="32" borderId="77" xfId="44" applyNumberFormat="1" applyFont="1" applyFill="1" applyBorder="1" applyAlignment="1" applyProtection="1">
      <alignment horizontal="center"/>
    </xf>
    <xf numFmtId="180" fontId="41" fillId="32" borderId="43" xfId="44" applyNumberFormat="1" applyFont="1" applyFill="1" applyBorder="1" applyAlignment="1" applyProtection="1">
      <alignment horizontal="center"/>
    </xf>
    <xf numFmtId="180" fontId="107" fillId="32" borderId="42" xfId="44" applyNumberFormat="1" applyFont="1" applyFill="1" applyBorder="1" applyAlignment="1" applyProtection="1">
      <alignment horizontal="center"/>
    </xf>
    <xf numFmtId="180" fontId="107" fillId="32" borderId="43" xfId="44" applyNumberFormat="1" applyFont="1" applyFill="1" applyBorder="1" applyAlignment="1" applyProtection="1">
      <alignment horizontal="center"/>
    </xf>
    <xf numFmtId="180" fontId="107" fillId="32" borderId="26" xfId="44" applyNumberFormat="1" applyFont="1" applyFill="1" applyBorder="1" applyAlignment="1" applyProtection="1">
      <alignment horizontal="center"/>
    </xf>
    <xf numFmtId="180" fontId="107" fillId="32" borderId="20" xfId="44" applyNumberFormat="1" applyFont="1" applyFill="1" applyBorder="1" applyAlignment="1" applyProtection="1">
      <alignment horizontal="center"/>
    </xf>
    <xf numFmtId="180" fontId="86" fillId="0" borderId="42" xfId="44" applyNumberFormat="1" applyFont="1" applyBorder="1" applyAlignment="1" applyProtection="1">
      <alignment horizontal="center"/>
    </xf>
    <xf numFmtId="180" fontId="86" fillId="0" borderId="20" xfId="44" applyNumberFormat="1" applyFont="1" applyBorder="1" applyAlignment="1" applyProtection="1">
      <alignment horizontal="center"/>
    </xf>
    <xf numFmtId="180" fontId="86" fillId="0" borderId="43" xfId="44" applyNumberFormat="1" applyFont="1" applyBorder="1" applyAlignment="1" applyProtection="1">
      <alignment horizontal="center"/>
    </xf>
    <xf numFmtId="180" fontId="107" fillId="32" borderId="42" xfId="44" applyNumberFormat="1" applyFont="1" applyFill="1" applyBorder="1" applyAlignment="1" applyProtection="1">
      <alignment horizontal="center" vertical="center"/>
    </xf>
    <xf numFmtId="180" fontId="107" fillId="32" borderId="43" xfId="44" applyNumberFormat="1" applyFont="1" applyFill="1" applyBorder="1" applyAlignment="1" applyProtection="1">
      <alignment horizontal="center" vertical="center"/>
    </xf>
    <xf numFmtId="180" fontId="107" fillId="32" borderId="20" xfId="44" applyNumberFormat="1" applyFont="1" applyFill="1" applyBorder="1" applyAlignment="1" applyProtection="1">
      <alignment horizontal="center" vertical="center"/>
    </xf>
    <xf numFmtId="180" fontId="107" fillId="32" borderId="26" xfId="44" applyNumberFormat="1" applyFont="1" applyFill="1" applyBorder="1" applyAlignment="1" applyProtection="1">
      <alignment horizontal="center" vertical="center"/>
    </xf>
    <xf numFmtId="180" fontId="107" fillId="0" borderId="43" xfId="44" applyNumberFormat="1" applyFont="1" applyBorder="1" applyAlignment="1" applyProtection="1">
      <alignment horizontal="center" vertical="center"/>
    </xf>
    <xf numFmtId="180" fontId="109" fillId="32" borderId="78" xfId="44" applyNumberFormat="1" applyFont="1" applyFill="1" applyBorder="1" applyAlignment="1" applyProtection="1">
      <alignment horizontal="center" vertical="center"/>
    </xf>
    <xf numFmtId="180" fontId="109" fillId="32" borderId="42" xfId="44" applyNumberFormat="1" applyFont="1" applyFill="1" applyBorder="1" applyAlignment="1" applyProtection="1">
      <alignment horizontal="center" vertical="center"/>
    </xf>
    <xf numFmtId="180" fontId="109" fillId="0" borderId="43" xfId="44" applyNumberFormat="1" applyFont="1" applyBorder="1" applyAlignment="1" applyProtection="1">
      <alignment horizontal="center" vertical="center"/>
    </xf>
    <xf numFmtId="180" fontId="41" fillId="32" borderId="78" xfId="44" applyNumberFormat="1" applyFont="1" applyFill="1" applyBorder="1" applyAlignment="1" applyProtection="1">
      <alignment horizontal="center"/>
    </xf>
    <xf numFmtId="180" fontId="107" fillId="32" borderId="77" xfId="44" applyNumberFormat="1" applyFont="1" applyFill="1" applyBorder="1" applyAlignment="1" applyProtection="1">
      <alignment horizontal="center"/>
    </xf>
    <xf numFmtId="180" fontId="82" fillId="32" borderId="0" xfId="44" applyNumberFormat="1" applyFont="1" applyFill="1" applyAlignment="1" applyProtection="1">
      <alignment horizontal="center"/>
    </xf>
    <xf numFmtId="49" fontId="82" fillId="33" borderId="53" xfId="44" applyNumberFormat="1" applyFont="1" applyFill="1" applyBorder="1" applyAlignment="1" applyProtection="1">
      <alignment horizontal="center" vertical="center" wrapText="1"/>
    </xf>
    <xf numFmtId="180" fontId="107" fillId="32" borderId="44" xfId="44" applyNumberFormat="1" applyFont="1" applyFill="1" applyBorder="1" applyAlignment="1" applyProtection="1">
      <alignment horizontal="center"/>
    </xf>
    <xf numFmtId="0" fontId="38" fillId="0" borderId="42" xfId="0" applyFont="1" applyBorder="1" applyAlignment="1" applyProtection="1">
      <alignment horizontal="center" vertical="top" wrapText="1"/>
    </xf>
    <xf numFmtId="180" fontId="107" fillId="32" borderId="44" xfId="44" applyNumberFormat="1" applyFont="1" applyFill="1" applyBorder="1" applyAlignment="1" applyProtection="1">
      <alignment horizontal="center" vertical="center"/>
    </xf>
    <xf numFmtId="179" fontId="106" fillId="32" borderId="44" xfId="44" applyNumberFormat="1" applyFont="1" applyFill="1" applyBorder="1" applyAlignment="1" applyProtection="1">
      <alignment horizontal="center"/>
    </xf>
    <xf numFmtId="0" fontId="38" fillId="0" borderId="10" xfId="0" applyFont="1" applyBorder="1" applyAlignment="1" applyProtection="1">
      <alignment horizontal="center" vertical="top" wrapText="1"/>
    </xf>
    <xf numFmtId="180" fontId="107" fillId="32" borderId="82" xfId="44" applyNumberFormat="1" applyFont="1" applyFill="1" applyBorder="1" applyAlignment="1" applyProtection="1">
      <alignment horizontal="center" vertical="center"/>
    </xf>
    <xf numFmtId="179" fontId="106" fillId="32" borderId="10" xfId="44" applyNumberFormat="1" applyFont="1" applyFill="1" applyBorder="1" applyAlignment="1" applyProtection="1">
      <alignment horizontal="center"/>
    </xf>
    <xf numFmtId="180" fontId="107" fillId="32" borderId="78" xfId="44" applyNumberFormat="1" applyFont="1" applyFill="1" applyBorder="1" applyAlignment="1" applyProtection="1">
      <alignment horizontal="center" vertical="center"/>
    </xf>
    <xf numFmtId="180" fontId="107" fillId="32" borderId="77" xfId="44" applyNumberFormat="1" applyFont="1" applyFill="1" applyBorder="1" applyAlignment="1" applyProtection="1">
      <alignment horizontal="center" vertical="center"/>
    </xf>
    <xf numFmtId="0" fontId="38" fillId="0" borderId="43" xfId="0" applyFont="1" applyBorder="1" applyAlignment="1" applyProtection="1">
      <alignment horizontal="center" vertical="top" wrapText="1"/>
    </xf>
    <xf numFmtId="179" fontId="106" fillId="32" borderId="43" xfId="44" applyNumberFormat="1" applyFont="1" applyFill="1" applyBorder="1" applyAlignment="1" applyProtection="1">
      <alignment horizontal="center"/>
    </xf>
    <xf numFmtId="0" fontId="38" fillId="0" borderId="42" xfId="0" applyFont="1" applyBorder="1" applyAlignment="1" applyProtection="1">
      <alignment horizontal="center"/>
    </xf>
    <xf numFmtId="0" fontId="38" fillId="0" borderId="10" xfId="0" applyFont="1" applyBorder="1" applyAlignment="1" applyProtection="1">
      <alignment horizontal="center"/>
    </xf>
    <xf numFmtId="180" fontId="107" fillId="32" borderId="78" xfId="44" applyNumberFormat="1" applyFont="1" applyFill="1" applyBorder="1" applyAlignment="1" applyProtection="1">
      <alignment horizontal="center"/>
    </xf>
    <xf numFmtId="179" fontId="106" fillId="32" borderId="20" xfId="44" applyNumberFormat="1" applyFont="1" applyFill="1" applyBorder="1" applyAlignment="1" applyProtection="1">
      <alignment horizontal="center"/>
    </xf>
    <xf numFmtId="0" fontId="38" fillId="0" borderId="43" xfId="0" applyFont="1" applyBorder="1" applyAlignment="1" applyProtection="1">
      <alignment horizontal="center"/>
    </xf>
    <xf numFmtId="179" fontId="106" fillId="32" borderId="64" xfId="44" applyNumberFormat="1" applyFont="1" applyFill="1" applyBorder="1" applyAlignment="1" applyProtection="1">
      <alignment horizontal="center"/>
    </xf>
    <xf numFmtId="179" fontId="42" fillId="32" borderId="42" xfId="44" applyNumberFormat="1" applyFont="1" applyFill="1" applyBorder="1" applyAlignment="1" applyProtection="1">
      <alignment horizontal="center"/>
    </xf>
    <xf numFmtId="179" fontId="42" fillId="32" borderId="10" xfId="44" applyNumberFormat="1" applyFont="1" applyFill="1" applyBorder="1" applyAlignment="1" applyProtection="1">
      <alignment horizontal="center"/>
    </xf>
    <xf numFmtId="179" fontId="42" fillId="32" borderId="43" xfId="44" applyNumberFormat="1" applyFont="1" applyFill="1" applyBorder="1" applyAlignment="1" applyProtection="1">
      <alignment horizontal="center"/>
    </xf>
    <xf numFmtId="0" fontId="38" fillId="0" borderId="26" xfId="0" applyFont="1" applyBorder="1" applyAlignment="1" applyProtection="1">
      <alignment horizontal="center" vertical="top" wrapText="1"/>
    </xf>
    <xf numFmtId="180" fontId="41" fillId="32" borderId="26" xfId="44" applyNumberFormat="1" applyFont="1" applyFill="1" applyBorder="1" applyAlignment="1" applyProtection="1">
      <alignment horizontal="center"/>
    </xf>
    <xf numFmtId="179" fontId="42" fillId="32" borderId="26" xfId="44" applyNumberFormat="1" applyFont="1" applyFill="1" applyBorder="1" applyAlignment="1" applyProtection="1">
      <alignment horizontal="center"/>
    </xf>
    <xf numFmtId="0" fontId="50" fillId="0" borderId="54" xfId="0" applyFont="1" applyBorder="1" applyAlignment="1" applyProtection="1">
      <alignment horizontal="center" vertical="top" wrapText="1"/>
    </xf>
    <xf numFmtId="179" fontId="107" fillId="0" borderId="42" xfId="44" applyNumberFormat="1" applyFont="1" applyBorder="1" applyAlignment="1" applyProtection="1">
      <alignment horizontal="center"/>
    </xf>
    <xf numFmtId="0" fontId="50" fillId="0" borderId="55" xfId="0" applyFont="1" applyBorder="1" applyAlignment="1" applyProtection="1">
      <alignment horizontal="center" vertical="top" wrapText="1"/>
    </xf>
    <xf numFmtId="179" fontId="107" fillId="0" borderId="77" xfId="44" applyNumberFormat="1" applyFont="1" applyBorder="1" applyAlignment="1" applyProtection="1">
      <alignment horizontal="center"/>
    </xf>
    <xf numFmtId="179" fontId="42" fillId="32" borderId="64" xfId="44" applyNumberFormat="1" applyFont="1" applyFill="1" applyBorder="1" applyAlignment="1" applyProtection="1">
      <alignment horizontal="center"/>
    </xf>
    <xf numFmtId="179" fontId="34" fillId="32" borderId="0" xfId="44" applyNumberFormat="1" applyFill="1" applyAlignment="1" applyProtection="1">
      <alignment horizontal="center"/>
    </xf>
    <xf numFmtId="0" fontId="38" fillId="32" borderId="0" xfId="44" applyFont="1" applyFill="1" applyAlignment="1" applyProtection="1">
      <alignment horizontal="center"/>
    </xf>
    <xf numFmtId="49" fontId="38" fillId="33" borderId="53" xfId="44" applyNumberFormat="1" applyFont="1" applyFill="1" applyBorder="1" applyAlignment="1" applyProtection="1">
      <alignment horizontal="center" vertical="center" wrapText="1"/>
    </xf>
  </cellXfs>
  <cellStyles count="91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20% - 輔色1 2" xfId="49" xr:uid="{00000000-0005-0000-0000-000006000000}"/>
    <cellStyle name="20% - 輔色2 2" xfId="50" xr:uid="{00000000-0005-0000-0000-000007000000}"/>
    <cellStyle name="20% - 輔色3 2" xfId="51" xr:uid="{00000000-0005-0000-0000-000008000000}"/>
    <cellStyle name="20% - 輔色4 2" xfId="52" xr:uid="{00000000-0005-0000-0000-000009000000}"/>
    <cellStyle name="20% - 輔色5 2" xfId="53" xr:uid="{00000000-0005-0000-0000-00000A000000}"/>
    <cellStyle name="20% - 輔色6 2" xfId="54" xr:uid="{00000000-0005-0000-0000-00000B000000}"/>
    <cellStyle name="40% - Accent1" xfId="7" xr:uid="{00000000-0005-0000-0000-00000C000000}"/>
    <cellStyle name="40% - Accent2" xfId="8" xr:uid="{00000000-0005-0000-0000-00000D000000}"/>
    <cellStyle name="40% - Accent3" xfId="9" xr:uid="{00000000-0005-0000-0000-00000E000000}"/>
    <cellStyle name="40% - Accent4" xfId="10" xr:uid="{00000000-0005-0000-0000-00000F000000}"/>
    <cellStyle name="40% - Accent5" xfId="11" xr:uid="{00000000-0005-0000-0000-000010000000}"/>
    <cellStyle name="40% - Accent6" xfId="12" xr:uid="{00000000-0005-0000-0000-000011000000}"/>
    <cellStyle name="40% - 輔色1 2" xfId="55" xr:uid="{00000000-0005-0000-0000-000012000000}"/>
    <cellStyle name="40% - 輔色2 2" xfId="56" xr:uid="{00000000-0005-0000-0000-000013000000}"/>
    <cellStyle name="40% - 輔色3 2" xfId="57" xr:uid="{00000000-0005-0000-0000-000014000000}"/>
    <cellStyle name="40% - 輔色4 2" xfId="58" xr:uid="{00000000-0005-0000-0000-000015000000}"/>
    <cellStyle name="40% - 輔色5 2" xfId="59" xr:uid="{00000000-0005-0000-0000-000016000000}"/>
    <cellStyle name="40% - 輔色6 2" xfId="60" xr:uid="{00000000-0005-0000-0000-000017000000}"/>
    <cellStyle name="60% - Accent1" xfId="13" xr:uid="{00000000-0005-0000-0000-000018000000}"/>
    <cellStyle name="60% - Accent2" xfId="14" xr:uid="{00000000-0005-0000-0000-000019000000}"/>
    <cellStyle name="60% - Accent3" xfId="15" xr:uid="{00000000-0005-0000-0000-00001A000000}"/>
    <cellStyle name="60% - Accent4" xfId="16" xr:uid="{00000000-0005-0000-0000-00001B000000}"/>
    <cellStyle name="60% - Accent5" xfId="17" xr:uid="{00000000-0005-0000-0000-00001C000000}"/>
    <cellStyle name="60% - Accent6" xfId="18" xr:uid="{00000000-0005-0000-0000-00001D000000}"/>
    <cellStyle name="60% - 輔色1 2" xfId="61" xr:uid="{00000000-0005-0000-0000-00001E000000}"/>
    <cellStyle name="60% - 輔色2 2" xfId="62" xr:uid="{00000000-0005-0000-0000-00001F000000}"/>
    <cellStyle name="60% - 輔色3 2" xfId="63" xr:uid="{00000000-0005-0000-0000-000020000000}"/>
    <cellStyle name="60% - 輔色4 2" xfId="64" xr:uid="{00000000-0005-0000-0000-000021000000}"/>
    <cellStyle name="60% - 輔色5 2" xfId="65" xr:uid="{00000000-0005-0000-0000-000022000000}"/>
    <cellStyle name="60% - 輔色6 2" xfId="66" xr:uid="{00000000-0005-0000-0000-000023000000}"/>
    <cellStyle name="Accent1" xfId="19" xr:uid="{00000000-0005-0000-0000-000024000000}"/>
    <cellStyle name="Accent2" xfId="20" xr:uid="{00000000-0005-0000-0000-000025000000}"/>
    <cellStyle name="Accent3" xfId="21" xr:uid="{00000000-0005-0000-0000-000026000000}"/>
    <cellStyle name="Accent4" xfId="22" xr:uid="{00000000-0005-0000-0000-000027000000}"/>
    <cellStyle name="Accent5" xfId="23" xr:uid="{00000000-0005-0000-0000-000028000000}"/>
    <cellStyle name="Accent6" xfId="24" xr:uid="{00000000-0005-0000-0000-000029000000}"/>
    <cellStyle name="Bad" xfId="25" xr:uid="{00000000-0005-0000-0000-00002A000000}"/>
    <cellStyle name="Calculation" xfId="26" xr:uid="{00000000-0005-0000-0000-00002B000000}"/>
    <cellStyle name="Check Cell" xfId="27" xr:uid="{00000000-0005-0000-0000-00002C000000}"/>
    <cellStyle name="Explanatory Text" xfId="28" xr:uid="{00000000-0005-0000-0000-00002D000000}"/>
    <cellStyle name="Good" xfId="29" xr:uid="{00000000-0005-0000-0000-00002E000000}"/>
    <cellStyle name="Heading 1" xfId="30" xr:uid="{00000000-0005-0000-0000-00002F000000}"/>
    <cellStyle name="Heading 2" xfId="31" xr:uid="{00000000-0005-0000-0000-000030000000}"/>
    <cellStyle name="Heading 3" xfId="32" xr:uid="{00000000-0005-0000-0000-000031000000}"/>
    <cellStyle name="Heading 4" xfId="33" xr:uid="{00000000-0005-0000-0000-000032000000}"/>
    <cellStyle name="Input" xfId="34" xr:uid="{00000000-0005-0000-0000-000033000000}"/>
    <cellStyle name="Linked Cell" xfId="35" xr:uid="{00000000-0005-0000-0000-000034000000}"/>
    <cellStyle name="Neutral" xfId="36" xr:uid="{00000000-0005-0000-0000-000035000000}"/>
    <cellStyle name="Normal_Ohlone_DDR2_Tuning_BPM_changes_09-12-03" xfId="37" xr:uid="{00000000-0005-0000-0000-000036000000}"/>
    <cellStyle name="Note" xfId="38" xr:uid="{00000000-0005-0000-0000-000037000000}"/>
    <cellStyle name="Output" xfId="39" xr:uid="{00000000-0005-0000-0000-000038000000}"/>
    <cellStyle name="Title" xfId="40" xr:uid="{00000000-0005-0000-0000-000039000000}"/>
    <cellStyle name="Total" xfId="41" xr:uid="{00000000-0005-0000-0000-00003A000000}"/>
    <cellStyle name="Warning Text" xfId="42" xr:uid="{00000000-0005-0000-0000-00003B000000}"/>
    <cellStyle name="一般" xfId="0" builtinId="0"/>
    <cellStyle name="一般 2" xfId="43" xr:uid="{00000000-0005-0000-0000-00003D000000}"/>
    <cellStyle name="一般 3" xfId="90" xr:uid="{0D27374B-47E8-4C0B-B7C7-AD8CDC6C79C2}"/>
    <cellStyle name="一般_ECB-CX700 layout check-list_0610A" xfId="44" xr:uid="{00000000-0005-0000-0000-00003E000000}"/>
    <cellStyle name="中等 2" xfId="67" xr:uid="{00000000-0005-0000-0000-00003F000000}"/>
    <cellStyle name="合計 2" xfId="68" xr:uid="{00000000-0005-0000-0000-000040000000}"/>
    <cellStyle name="好 2" xfId="69" xr:uid="{00000000-0005-0000-0000-000041000000}"/>
    <cellStyle name="好_Carrier Board for ESM-QM77 Layout Guibe(Type2 Rev2)" xfId="45" xr:uid="{00000000-0005-0000-0000-000042000000}"/>
    <cellStyle name="好_ESM-QM77_ Layout Guibe-1208" xfId="46" xr:uid="{00000000-0005-0000-0000-000043000000}"/>
    <cellStyle name="好_ESM-QM87_ Layout Guibe-051813" xfId="47" xr:uid="{00000000-0005-0000-0000-000044000000}"/>
    <cellStyle name="好_ESM-QM87_ Layout Guibe-052013" xfId="48" xr:uid="{00000000-0005-0000-0000-000045000000}"/>
    <cellStyle name="計算方式 2" xfId="70" xr:uid="{00000000-0005-0000-0000-000046000000}"/>
    <cellStyle name="連結的儲存格 2" xfId="71" xr:uid="{00000000-0005-0000-0000-000047000000}"/>
    <cellStyle name="備註 2" xfId="72" xr:uid="{00000000-0005-0000-0000-000048000000}"/>
    <cellStyle name="說明文字 2" xfId="73" xr:uid="{00000000-0005-0000-0000-000049000000}"/>
    <cellStyle name="輔色1 2" xfId="74" xr:uid="{00000000-0005-0000-0000-00004A000000}"/>
    <cellStyle name="輔色2 2" xfId="75" xr:uid="{00000000-0005-0000-0000-00004B000000}"/>
    <cellStyle name="輔色3 2" xfId="76" xr:uid="{00000000-0005-0000-0000-00004C000000}"/>
    <cellStyle name="輔色4 2" xfId="77" xr:uid="{00000000-0005-0000-0000-00004D000000}"/>
    <cellStyle name="輔色5 2" xfId="78" xr:uid="{00000000-0005-0000-0000-00004E000000}"/>
    <cellStyle name="輔色6 2" xfId="79" xr:uid="{00000000-0005-0000-0000-00004F000000}"/>
    <cellStyle name="標題 1 2" xfId="81" xr:uid="{00000000-0005-0000-0000-000050000000}"/>
    <cellStyle name="標題 2 2" xfId="82" xr:uid="{00000000-0005-0000-0000-000051000000}"/>
    <cellStyle name="標題 3 2" xfId="83" xr:uid="{00000000-0005-0000-0000-000052000000}"/>
    <cellStyle name="標題 4 2" xfId="84" xr:uid="{00000000-0005-0000-0000-000053000000}"/>
    <cellStyle name="標題 5" xfId="80" xr:uid="{00000000-0005-0000-0000-000054000000}"/>
    <cellStyle name="輸入 2" xfId="85" xr:uid="{00000000-0005-0000-0000-000055000000}"/>
    <cellStyle name="輸出 2" xfId="86" xr:uid="{00000000-0005-0000-0000-000056000000}"/>
    <cellStyle name="檢查儲存格 2" xfId="87" xr:uid="{00000000-0005-0000-0000-000057000000}"/>
    <cellStyle name="壞 2" xfId="88" xr:uid="{00000000-0005-0000-0000-000058000000}"/>
    <cellStyle name="警告文字 2" xfId="89" xr:uid="{00000000-0005-0000-0000-000059000000}"/>
  </cellStyles>
  <dxfs count="494"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ill>
        <patternFill>
          <bgColor indexed="41"/>
        </patternFill>
      </fill>
    </dxf>
    <dxf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10"/>
        </patternFill>
      </fill>
    </dxf>
    <dxf>
      <fill>
        <patternFill>
          <bgColor indexed="41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1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1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1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1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1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1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1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1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  <fill>
        <patternFill>
          <bgColor indexed="1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  <fill>
        <patternFill>
          <bgColor indexed="1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 patternType="solid"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 patternType="solid"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 patternType="solid"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 patternType="solid"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 patternType="solid"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 patternType="solid"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9" defaultPivotStyle="PivotStyleLight16"/>
  <colors>
    <mruColors>
      <color rgb="FFCCFFFF"/>
      <color rgb="FF66FFCC"/>
      <color rgb="FF66FFFF"/>
      <color rgb="FF0000FF"/>
      <color rgb="FF8BD3E1"/>
      <color rgb="FF00FFFF"/>
      <color rgb="FF000099"/>
      <color rgb="FF339933"/>
      <color rgb="FF00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2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3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wmf"/><Relationship Id="rId1" Type="http://schemas.openxmlformats.org/officeDocument/2006/relationships/image" Target="../media/image14.emf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emf"/><Relationship Id="rId1" Type="http://schemas.openxmlformats.org/officeDocument/2006/relationships/image" Target="../media/image16.emf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emf"/><Relationship Id="rId1" Type="http://schemas.openxmlformats.org/officeDocument/2006/relationships/image" Target="../media/image17.emf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8.emf"/><Relationship Id="rId1" Type="http://schemas.openxmlformats.org/officeDocument/2006/relationships/image" Target="../media/image10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1.emf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4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9.emf"/><Relationship Id="rId1" Type="http://schemas.openxmlformats.org/officeDocument/2006/relationships/image" Target="../media/image8.emf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emf"/><Relationship Id="rId1" Type="http://schemas.openxmlformats.org/officeDocument/2006/relationships/image" Target="../media/image10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1047750</xdr:colOff>
      <xdr:row>17</xdr:row>
      <xdr:rowOff>180975</xdr:rowOff>
    </xdr:from>
    <xdr:to>
      <xdr:col>0</xdr:col>
      <xdr:colOff>1438275</xdr:colOff>
      <xdr:row>18</xdr:row>
      <xdr:rowOff>85725</xdr:rowOff>
    </xdr:to>
    <xdr:sp macro="" textlink="">
      <xdr:nvSpPr>
        <xdr:cNvPr id="2" name="圓角矩形 4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1047750" y="14335125"/>
          <a:ext cx="390525" cy="1143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zh-TW" altLang="en-US"/>
        </a:p>
      </xdr:txBody>
    </xdr:sp>
    <xdr:clientData/>
  </xdr:twoCellAnchor>
  <xdr:twoCellAnchor>
    <xdr:from>
      <xdr:col>0</xdr:col>
      <xdr:colOff>466725</xdr:colOff>
      <xdr:row>10</xdr:row>
      <xdr:rowOff>209550</xdr:rowOff>
    </xdr:from>
    <xdr:to>
      <xdr:col>0</xdr:col>
      <xdr:colOff>857250</xdr:colOff>
      <xdr:row>11</xdr:row>
      <xdr:rowOff>104775</xdr:rowOff>
    </xdr:to>
    <xdr:sp macro="" textlink="">
      <xdr:nvSpPr>
        <xdr:cNvPr id="3" name="圓角矩形 10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466725" y="12887325"/>
          <a:ext cx="390525" cy="1143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zh-TW" altLang="en-US"/>
        </a:p>
      </xdr:txBody>
    </xdr:sp>
    <xdr:clientData/>
  </xdr:twoCellAnchor>
  <xdr:twoCellAnchor>
    <xdr:from>
      <xdr:col>3</xdr:col>
      <xdr:colOff>1095375</xdr:colOff>
      <xdr:row>11</xdr:row>
      <xdr:rowOff>57150</xdr:rowOff>
    </xdr:from>
    <xdr:to>
      <xdr:col>4</xdr:col>
      <xdr:colOff>142875</xdr:colOff>
      <xdr:row>12</xdr:row>
      <xdr:rowOff>0</xdr:rowOff>
    </xdr:to>
    <xdr:sp macro="" textlink="">
      <xdr:nvSpPr>
        <xdr:cNvPr id="4" name="圓角矩形 11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/>
      </xdr:nvSpPr>
      <xdr:spPr>
        <a:xfrm>
          <a:off x="9677400" y="12954000"/>
          <a:ext cx="209550" cy="1524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zh-TW" altLang="en-US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55</xdr:row>
      <xdr:rowOff>228600</xdr:rowOff>
    </xdr:from>
    <xdr:to>
      <xdr:col>7</xdr:col>
      <xdr:colOff>790575</xdr:colOff>
      <xdr:row>63</xdr:row>
      <xdr:rowOff>114300</xdr:rowOff>
    </xdr:to>
    <xdr:pic>
      <xdr:nvPicPr>
        <xdr:cNvPr id="17607" name="Picture 1">
          <a:extLst>
            <a:ext uri="{FF2B5EF4-FFF2-40B4-BE49-F238E27FC236}">
              <a16:creationId xmlns:a16="http://schemas.microsoft.com/office/drawing/2014/main" id="{00000000-0008-0000-1800-0000C74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9372600"/>
          <a:ext cx="5591175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1524000</xdr:colOff>
      <xdr:row>56</xdr:row>
      <xdr:rowOff>0</xdr:rowOff>
    </xdr:from>
    <xdr:to>
      <xdr:col>15</xdr:col>
      <xdr:colOff>47625</xdr:colOff>
      <xdr:row>86</xdr:row>
      <xdr:rowOff>123825</xdr:rowOff>
    </xdr:to>
    <xdr:pic>
      <xdr:nvPicPr>
        <xdr:cNvPr id="17608" name="Picture 3">
          <a:extLst>
            <a:ext uri="{FF2B5EF4-FFF2-40B4-BE49-F238E27FC236}">
              <a16:creationId xmlns:a16="http://schemas.microsoft.com/office/drawing/2014/main" id="{00000000-0008-0000-1800-0000C84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24000" y="9429750"/>
          <a:ext cx="9591675" cy="510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142875</xdr:colOff>
      <xdr:row>30</xdr:row>
      <xdr:rowOff>66675</xdr:rowOff>
    </xdr:from>
    <xdr:to>
      <xdr:col>16</xdr:col>
      <xdr:colOff>76200</xdr:colOff>
      <xdr:row>51</xdr:row>
      <xdr:rowOff>19050</xdr:rowOff>
    </xdr:to>
    <xdr:pic>
      <xdr:nvPicPr>
        <xdr:cNvPr id="4423" name="Picture 93">
          <a:extLst>
            <a:ext uri="{FF2B5EF4-FFF2-40B4-BE49-F238E27FC236}">
              <a16:creationId xmlns:a16="http://schemas.microsoft.com/office/drawing/2014/main" id="{00000000-0008-0000-1900-000047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00" y="6496050"/>
          <a:ext cx="7505700" cy="415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31</xdr:row>
      <xdr:rowOff>66675</xdr:rowOff>
    </xdr:from>
    <xdr:to>
      <xdr:col>8</xdr:col>
      <xdr:colOff>571500</xdr:colOff>
      <xdr:row>37</xdr:row>
      <xdr:rowOff>104775</xdr:rowOff>
    </xdr:to>
    <xdr:pic>
      <xdr:nvPicPr>
        <xdr:cNvPr id="4424" name="Picture 116">
          <a:extLst>
            <a:ext uri="{FF2B5EF4-FFF2-40B4-BE49-F238E27FC236}">
              <a16:creationId xmlns:a16="http://schemas.microsoft.com/office/drawing/2014/main" id="{00000000-0008-0000-1900-000048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6200" y="6657975"/>
          <a:ext cx="557212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295275</xdr:colOff>
          <xdr:row>29</xdr:row>
          <xdr:rowOff>514350</xdr:rowOff>
        </xdr:from>
        <xdr:to>
          <xdr:col>11</xdr:col>
          <xdr:colOff>781050</xdr:colOff>
          <xdr:row>51</xdr:row>
          <xdr:rowOff>57150</xdr:rowOff>
        </xdr:to>
        <xdr:sp macro="" textlink="">
          <xdr:nvSpPr>
            <xdr:cNvPr id="30722" name="Object 2" hidden="1">
              <a:extLst>
                <a:ext uri="{63B3BB69-23CF-44E3-9099-C40C66FF867C}">
                  <a14:compatExt spid="_x0000_s30722"/>
                </a:ext>
                <a:ext uri="{FF2B5EF4-FFF2-40B4-BE49-F238E27FC236}">
                  <a16:creationId xmlns:a16="http://schemas.microsoft.com/office/drawing/2014/main" id="{00000000-0008-0000-1A00-000002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257175</xdr:colOff>
          <xdr:row>22</xdr:row>
          <xdr:rowOff>161925</xdr:rowOff>
        </xdr:from>
        <xdr:to>
          <xdr:col>11</xdr:col>
          <xdr:colOff>238125</xdr:colOff>
          <xdr:row>29</xdr:row>
          <xdr:rowOff>342900</xdr:rowOff>
        </xdr:to>
        <xdr:sp macro="" textlink="">
          <xdr:nvSpPr>
            <xdr:cNvPr id="30723" name="Object 3" hidden="1">
              <a:extLst>
                <a:ext uri="{63B3BB69-23CF-44E3-9099-C40C66FF867C}">
                  <a14:compatExt spid="_x0000_s30723"/>
                </a:ext>
                <a:ext uri="{FF2B5EF4-FFF2-40B4-BE49-F238E27FC236}">
                  <a16:creationId xmlns:a16="http://schemas.microsoft.com/office/drawing/2014/main" id="{00000000-0008-0000-1A00-000003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200025</xdr:colOff>
          <xdr:row>28</xdr:row>
          <xdr:rowOff>133350</xdr:rowOff>
        </xdr:from>
        <xdr:to>
          <xdr:col>9</xdr:col>
          <xdr:colOff>219075</xdr:colOff>
          <xdr:row>35</xdr:row>
          <xdr:rowOff>247650</xdr:rowOff>
        </xdr:to>
        <xdr:sp macro="" textlink="">
          <xdr:nvSpPr>
            <xdr:cNvPr id="27653" name="Object 5" hidden="1">
              <a:extLst>
                <a:ext uri="{63B3BB69-23CF-44E3-9099-C40C66FF867C}">
                  <a14:compatExt spid="_x0000_s27653"/>
                </a:ext>
                <a:ext uri="{FF2B5EF4-FFF2-40B4-BE49-F238E27FC236}">
                  <a16:creationId xmlns:a16="http://schemas.microsoft.com/office/drawing/2014/main" id="{00000000-0008-0000-1B00-000005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180975</xdr:colOff>
          <xdr:row>37</xdr:row>
          <xdr:rowOff>28575</xdr:rowOff>
        </xdr:from>
        <xdr:to>
          <xdr:col>10</xdr:col>
          <xdr:colOff>123825</xdr:colOff>
          <xdr:row>57</xdr:row>
          <xdr:rowOff>57150</xdr:rowOff>
        </xdr:to>
        <xdr:sp macro="" textlink="">
          <xdr:nvSpPr>
            <xdr:cNvPr id="27654" name="Object 6" hidden="1">
              <a:extLst>
                <a:ext uri="{63B3BB69-23CF-44E3-9099-C40C66FF867C}">
                  <a14:compatExt spid="_x0000_s27654"/>
                </a:ext>
                <a:ext uri="{FF2B5EF4-FFF2-40B4-BE49-F238E27FC236}">
                  <a16:creationId xmlns:a16="http://schemas.microsoft.com/office/drawing/2014/main" id="{00000000-0008-0000-1B00-000006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33</xdr:row>
          <xdr:rowOff>28575</xdr:rowOff>
        </xdr:from>
        <xdr:to>
          <xdr:col>11</xdr:col>
          <xdr:colOff>0</xdr:colOff>
          <xdr:row>49</xdr:row>
          <xdr:rowOff>9525</xdr:rowOff>
        </xdr:to>
        <xdr:sp macro="" textlink="">
          <xdr:nvSpPr>
            <xdr:cNvPr id="6161" name="Object 17" hidden="1">
              <a:extLst>
                <a:ext uri="{63B3BB69-23CF-44E3-9099-C40C66FF867C}">
                  <a14:compatExt spid="_x0000_s6161"/>
                </a:ext>
                <a:ext uri="{FF2B5EF4-FFF2-40B4-BE49-F238E27FC236}">
                  <a16:creationId xmlns:a16="http://schemas.microsoft.com/office/drawing/2014/main" id="{00000000-0008-0000-1C00-00001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45</xdr:row>
          <xdr:rowOff>9525</xdr:rowOff>
        </xdr:from>
        <xdr:to>
          <xdr:col>15</xdr:col>
          <xdr:colOff>257175</xdr:colOff>
          <xdr:row>61</xdr:row>
          <xdr:rowOff>0</xdr:rowOff>
        </xdr:to>
        <xdr:sp macro="" textlink="">
          <xdr:nvSpPr>
            <xdr:cNvPr id="18659" name="Object 227" hidden="1">
              <a:extLst>
                <a:ext uri="{63B3BB69-23CF-44E3-9099-C40C66FF867C}">
                  <a14:compatExt spid="_x0000_s18659"/>
                </a:ext>
                <a:ext uri="{FF2B5EF4-FFF2-40B4-BE49-F238E27FC236}">
                  <a16:creationId xmlns:a16="http://schemas.microsoft.com/office/drawing/2014/main" id="{00000000-0008-0000-1D00-0000E3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46</xdr:row>
          <xdr:rowOff>0</xdr:rowOff>
        </xdr:from>
        <xdr:to>
          <xdr:col>15</xdr:col>
          <xdr:colOff>142875</xdr:colOff>
          <xdr:row>59</xdr:row>
          <xdr:rowOff>123825</xdr:rowOff>
        </xdr:to>
        <xdr:sp macro="" textlink="">
          <xdr:nvSpPr>
            <xdr:cNvPr id="23556" name="Object 4" hidden="1">
              <a:extLst>
                <a:ext uri="{63B3BB69-23CF-44E3-9099-C40C66FF867C}">
                  <a14:compatExt spid="_x0000_s23556"/>
                </a:ext>
                <a:ext uri="{FF2B5EF4-FFF2-40B4-BE49-F238E27FC236}">
                  <a16:creationId xmlns:a16="http://schemas.microsoft.com/office/drawing/2014/main" id="{00000000-0008-0000-1E00-000004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85725</xdr:colOff>
          <xdr:row>103</xdr:row>
          <xdr:rowOff>0</xdr:rowOff>
        </xdr:from>
        <xdr:to>
          <xdr:col>13</xdr:col>
          <xdr:colOff>38100</xdr:colOff>
          <xdr:row>116</xdr:row>
          <xdr:rowOff>123825</xdr:rowOff>
        </xdr:to>
        <xdr:sp macro="" textlink="">
          <xdr:nvSpPr>
            <xdr:cNvPr id="7174" name="Object 6" hidden="1">
              <a:extLst>
                <a:ext uri="{63B3BB69-23CF-44E3-9099-C40C66FF867C}">
                  <a14:compatExt spid="_x0000_s7174"/>
                </a:ext>
                <a:ext uri="{FF2B5EF4-FFF2-40B4-BE49-F238E27FC236}">
                  <a16:creationId xmlns:a16="http://schemas.microsoft.com/office/drawing/2014/main" id="{00000000-0008-0000-1F00-00000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371475</xdr:colOff>
          <xdr:row>102</xdr:row>
          <xdr:rowOff>0</xdr:rowOff>
        </xdr:from>
        <xdr:to>
          <xdr:col>15</xdr:col>
          <xdr:colOff>371475</xdr:colOff>
          <xdr:row>114</xdr:row>
          <xdr:rowOff>9525</xdr:rowOff>
        </xdr:to>
        <xdr:sp macro="" textlink="">
          <xdr:nvSpPr>
            <xdr:cNvPr id="19577" name="Object 121" hidden="1">
              <a:extLst>
                <a:ext uri="{63B3BB69-23CF-44E3-9099-C40C66FF867C}">
                  <a14:compatExt spid="_x0000_s19577"/>
                </a:ext>
                <a:ext uri="{FF2B5EF4-FFF2-40B4-BE49-F238E27FC236}">
                  <a16:creationId xmlns:a16="http://schemas.microsoft.com/office/drawing/2014/main" id="{00000000-0008-0000-2000-000079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102</xdr:row>
          <xdr:rowOff>0</xdr:rowOff>
        </xdr:from>
        <xdr:to>
          <xdr:col>13</xdr:col>
          <xdr:colOff>561975</xdr:colOff>
          <xdr:row>113</xdr:row>
          <xdr:rowOff>28575</xdr:rowOff>
        </xdr:to>
        <xdr:sp macro="" textlink="">
          <xdr:nvSpPr>
            <xdr:cNvPr id="28675" name="Object 3" hidden="1">
              <a:extLst>
                <a:ext uri="{63B3BB69-23CF-44E3-9099-C40C66FF867C}">
                  <a14:compatExt spid="_x0000_s28675"/>
                </a:ext>
                <a:ext uri="{FF2B5EF4-FFF2-40B4-BE49-F238E27FC236}">
                  <a16:creationId xmlns:a16="http://schemas.microsoft.com/office/drawing/2014/main" id="{00000000-0008-0000-2100-000003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914400</xdr:colOff>
          <xdr:row>45</xdr:row>
          <xdr:rowOff>28575</xdr:rowOff>
        </xdr:from>
        <xdr:to>
          <xdr:col>11</xdr:col>
          <xdr:colOff>95250</xdr:colOff>
          <xdr:row>58</xdr:row>
          <xdr:rowOff>95250</xdr:rowOff>
        </xdr:to>
        <xdr:sp macro="" textlink="">
          <xdr:nvSpPr>
            <xdr:cNvPr id="3260" name="Object 188" hidden="1">
              <a:extLst>
                <a:ext uri="{63B3BB69-23CF-44E3-9099-C40C66FF867C}">
                  <a14:compatExt spid="_x0000_s3260"/>
                </a:ext>
                <a:ext uri="{FF2B5EF4-FFF2-40B4-BE49-F238E27FC236}">
                  <a16:creationId xmlns:a16="http://schemas.microsoft.com/office/drawing/2014/main" id="{00000000-0008-0000-1000-0000B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66675</xdr:colOff>
          <xdr:row>25</xdr:row>
          <xdr:rowOff>47625</xdr:rowOff>
        </xdr:from>
        <xdr:to>
          <xdr:col>11</xdr:col>
          <xdr:colOff>38100</xdr:colOff>
          <xdr:row>44</xdr:row>
          <xdr:rowOff>19050</xdr:rowOff>
        </xdr:to>
        <xdr:sp macro="" textlink="">
          <xdr:nvSpPr>
            <xdr:cNvPr id="3261" name="Object 189" hidden="1">
              <a:extLst>
                <a:ext uri="{63B3BB69-23CF-44E3-9099-C40C66FF867C}">
                  <a14:compatExt spid="_x0000_s3261"/>
                </a:ext>
                <a:ext uri="{FF2B5EF4-FFF2-40B4-BE49-F238E27FC236}">
                  <a16:creationId xmlns:a16="http://schemas.microsoft.com/office/drawing/2014/main" id="{00000000-0008-0000-1000-0000B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542925</xdr:colOff>
          <xdr:row>39</xdr:row>
          <xdr:rowOff>76200</xdr:rowOff>
        </xdr:from>
        <xdr:to>
          <xdr:col>13</xdr:col>
          <xdr:colOff>447675</xdr:colOff>
          <xdr:row>55</xdr:row>
          <xdr:rowOff>47625</xdr:rowOff>
        </xdr:to>
        <xdr:sp macro="" textlink="">
          <xdr:nvSpPr>
            <xdr:cNvPr id="16978" name="Object 594" hidden="1">
              <a:extLst>
                <a:ext uri="{63B3BB69-23CF-44E3-9099-C40C66FF867C}">
                  <a14:compatExt spid="_x0000_s16978"/>
                </a:ext>
                <a:ext uri="{FF2B5EF4-FFF2-40B4-BE49-F238E27FC236}">
                  <a16:creationId xmlns:a16="http://schemas.microsoft.com/office/drawing/2014/main" id="{00000000-0008-0000-1100-0000524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38100</xdr:colOff>
          <xdr:row>59</xdr:row>
          <xdr:rowOff>38100</xdr:rowOff>
        </xdr:from>
        <xdr:to>
          <xdr:col>12</xdr:col>
          <xdr:colOff>723900</xdr:colOff>
          <xdr:row>80</xdr:row>
          <xdr:rowOff>142875</xdr:rowOff>
        </xdr:to>
        <xdr:sp macro="" textlink="">
          <xdr:nvSpPr>
            <xdr:cNvPr id="16979" name="Object 595" hidden="1">
              <a:extLst>
                <a:ext uri="{63B3BB69-23CF-44E3-9099-C40C66FF867C}">
                  <a14:compatExt spid="_x0000_s16979"/>
                </a:ext>
                <a:ext uri="{FF2B5EF4-FFF2-40B4-BE49-F238E27FC236}">
                  <a16:creationId xmlns:a16="http://schemas.microsoft.com/office/drawing/2014/main" id="{00000000-0008-0000-1100-0000534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58</xdr:row>
          <xdr:rowOff>0</xdr:rowOff>
        </xdr:from>
        <xdr:to>
          <xdr:col>10</xdr:col>
          <xdr:colOff>1247775</xdr:colOff>
          <xdr:row>66</xdr:row>
          <xdr:rowOff>142875</xdr:rowOff>
        </xdr:to>
        <xdr:sp macro="" textlink="">
          <xdr:nvSpPr>
            <xdr:cNvPr id="20501" name="Object 21" hidden="1">
              <a:extLst>
                <a:ext uri="{63B3BB69-23CF-44E3-9099-C40C66FF867C}">
                  <a14:compatExt spid="_x0000_s20501"/>
                </a:ext>
                <a:ext uri="{FF2B5EF4-FFF2-40B4-BE49-F238E27FC236}">
                  <a16:creationId xmlns:a16="http://schemas.microsoft.com/office/drawing/2014/main" id="{00000000-0008-0000-1200-000015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72</xdr:row>
          <xdr:rowOff>0</xdr:rowOff>
        </xdr:from>
        <xdr:to>
          <xdr:col>10</xdr:col>
          <xdr:colOff>1257300</xdr:colOff>
          <xdr:row>93</xdr:row>
          <xdr:rowOff>38100</xdr:rowOff>
        </xdr:to>
        <xdr:sp macro="" textlink="">
          <xdr:nvSpPr>
            <xdr:cNvPr id="20502" name="Object 22" hidden="1">
              <a:extLst>
                <a:ext uri="{63B3BB69-23CF-44E3-9099-C40C66FF867C}">
                  <a14:compatExt spid="_x0000_s20502"/>
                </a:ext>
                <a:ext uri="{FF2B5EF4-FFF2-40B4-BE49-F238E27FC236}">
                  <a16:creationId xmlns:a16="http://schemas.microsoft.com/office/drawing/2014/main" id="{00000000-0008-0000-1200-000016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62</xdr:row>
      <xdr:rowOff>66675</xdr:rowOff>
    </xdr:from>
    <xdr:to>
      <xdr:col>12</xdr:col>
      <xdr:colOff>1133475</xdr:colOff>
      <xdr:row>91</xdr:row>
      <xdr:rowOff>47625</xdr:rowOff>
    </xdr:to>
    <xdr:grpSp>
      <xdr:nvGrpSpPr>
        <xdr:cNvPr id="75649" name="Group 8">
          <a:extLst>
            <a:ext uri="{FF2B5EF4-FFF2-40B4-BE49-F238E27FC236}">
              <a16:creationId xmlns:a16="http://schemas.microsoft.com/office/drawing/2014/main" id="{00000000-0008-0000-1300-000081270100}"/>
            </a:ext>
          </a:extLst>
        </xdr:cNvPr>
        <xdr:cNvGrpSpPr>
          <a:grpSpLocks/>
        </xdr:cNvGrpSpPr>
      </xdr:nvGrpSpPr>
      <xdr:grpSpPr bwMode="auto">
        <a:xfrm>
          <a:off x="0" y="11141075"/>
          <a:ext cx="9490075" cy="4768850"/>
          <a:chOff x="96" y="864"/>
          <a:chExt cx="5594" cy="2920"/>
        </a:xfrm>
      </xdr:grpSpPr>
      <xdr:sp macro="" textlink="">
        <xdr:nvSpPr>
          <xdr:cNvPr id="75650" name="Rectangle 9">
            <a:extLst>
              <a:ext uri="{FF2B5EF4-FFF2-40B4-BE49-F238E27FC236}">
                <a16:creationId xmlns:a16="http://schemas.microsoft.com/office/drawing/2014/main" id="{00000000-0008-0000-1300-000082270100}"/>
              </a:ext>
            </a:extLst>
          </xdr:cNvPr>
          <xdr:cNvSpPr>
            <a:spLocks noChangeArrowheads="1"/>
          </xdr:cNvSpPr>
        </xdr:nvSpPr>
        <xdr:spPr bwMode="auto">
          <a:xfrm>
            <a:off x="721" y="3435"/>
            <a:ext cx="480" cy="240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1514" name="AutoShape 10">
            <a:extLst>
              <a:ext uri="{FF2B5EF4-FFF2-40B4-BE49-F238E27FC236}">
                <a16:creationId xmlns:a16="http://schemas.microsoft.com/office/drawing/2014/main" id="{00000000-0008-0000-1300-00000A540000}"/>
              </a:ext>
            </a:extLst>
          </xdr:cNvPr>
          <xdr:cNvSpPr>
            <a:spLocks noChangeArrowheads="1"/>
          </xdr:cNvSpPr>
        </xdr:nvSpPr>
        <xdr:spPr bwMode="auto">
          <a:xfrm rot="5400000" flipV="1">
            <a:off x="1519" y="3457"/>
            <a:ext cx="101" cy="208"/>
          </a:xfrm>
          <a:prstGeom prst="can">
            <a:avLst>
              <a:gd name="adj" fmla="val 53385"/>
            </a:avLst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vert="wordArtVertRtl" wrap="square" lIns="91440" tIns="45720" rIns="91440" bIns="45720" anchor="b" upright="1"/>
          <a:lstStyle/>
          <a:p>
            <a:pPr algn="l" rtl="1">
              <a:defRPr sz="1000"/>
            </a:pPr>
            <a:r>
              <a:rPr lang="en-US" altLang="zh-TW" sz="1000" b="0" i="0" strike="noStrike">
                <a:solidFill>
                  <a:srgbClr val="000000"/>
                </a:solidFill>
                <a:latin typeface="Arial"/>
                <a:cs typeface="Arial"/>
              </a:rPr>
              <a:t>L0</a:t>
            </a:r>
          </a:p>
          <a:p>
            <a:pPr algn="l" rtl="1">
              <a:defRPr sz="1000"/>
            </a:pPr>
            <a:endParaRPr lang="en-US" altLang="zh-TW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75652" name="Line 11">
            <a:extLst>
              <a:ext uri="{FF2B5EF4-FFF2-40B4-BE49-F238E27FC236}">
                <a16:creationId xmlns:a16="http://schemas.microsoft.com/office/drawing/2014/main" id="{00000000-0008-0000-1300-000084270100}"/>
              </a:ext>
            </a:extLst>
          </xdr:cNvPr>
          <xdr:cNvSpPr>
            <a:spLocks noChangeShapeType="1"/>
          </xdr:cNvSpPr>
        </xdr:nvSpPr>
        <xdr:spPr bwMode="auto">
          <a:xfrm flipV="1">
            <a:off x="1198" y="3558"/>
            <a:ext cx="288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516" name="AutoShape 12">
            <a:extLst>
              <a:ext uri="{FF2B5EF4-FFF2-40B4-BE49-F238E27FC236}">
                <a16:creationId xmlns:a16="http://schemas.microsoft.com/office/drawing/2014/main" id="{00000000-0008-0000-1300-00000C540000}"/>
              </a:ext>
            </a:extLst>
          </xdr:cNvPr>
          <xdr:cNvSpPr>
            <a:spLocks noChangeArrowheads="1"/>
          </xdr:cNvSpPr>
        </xdr:nvSpPr>
        <xdr:spPr bwMode="auto">
          <a:xfrm rot="5400000" flipH="1" flipV="1">
            <a:off x="4671" y="933"/>
            <a:ext cx="95" cy="242"/>
          </a:xfrm>
          <a:prstGeom prst="can">
            <a:avLst>
              <a:gd name="adj" fmla="val 62500"/>
            </a:avLst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vert="wordArtVertRtl" wrap="square" lIns="91440" tIns="45720" rIns="91440" bIns="45720" anchor="b" upright="1"/>
          <a:lstStyle/>
          <a:p>
            <a:pPr algn="l" rtl="1">
              <a:defRPr sz="1000"/>
            </a:pPr>
            <a:r>
              <a:rPr lang="en-US" altLang="zh-TW" sz="1000" b="0" i="0" strike="noStrike">
                <a:solidFill>
                  <a:srgbClr val="000000"/>
                </a:solidFill>
                <a:latin typeface="Arial"/>
                <a:cs typeface="Arial"/>
              </a:rPr>
              <a:t>L8</a:t>
            </a:r>
          </a:p>
          <a:p>
            <a:pPr algn="l" rtl="1">
              <a:lnSpc>
                <a:spcPts val="1100"/>
              </a:lnSpc>
              <a:defRPr sz="1000"/>
            </a:pPr>
            <a:endParaRPr lang="en-US" altLang="zh-TW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75654" name="Line 13">
            <a:extLst>
              <a:ext uri="{FF2B5EF4-FFF2-40B4-BE49-F238E27FC236}">
                <a16:creationId xmlns:a16="http://schemas.microsoft.com/office/drawing/2014/main" id="{00000000-0008-0000-1300-000086270100}"/>
              </a:ext>
            </a:extLst>
          </xdr:cNvPr>
          <xdr:cNvSpPr>
            <a:spLocks noChangeShapeType="1"/>
          </xdr:cNvSpPr>
        </xdr:nvSpPr>
        <xdr:spPr bwMode="auto">
          <a:xfrm flipV="1">
            <a:off x="2858" y="2166"/>
            <a:ext cx="0" cy="816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655" name="Line 14">
            <a:extLst>
              <a:ext uri="{FF2B5EF4-FFF2-40B4-BE49-F238E27FC236}">
                <a16:creationId xmlns:a16="http://schemas.microsoft.com/office/drawing/2014/main" id="{00000000-0008-0000-1300-000087270100}"/>
              </a:ext>
            </a:extLst>
          </xdr:cNvPr>
          <xdr:cNvSpPr>
            <a:spLocks noChangeShapeType="1"/>
          </xdr:cNvSpPr>
        </xdr:nvSpPr>
        <xdr:spPr bwMode="auto">
          <a:xfrm>
            <a:off x="4839" y="1056"/>
            <a:ext cx="144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519" name="AutoShape 15">
            <a:extLst>
              <a:ext uri="{FF2B5EF4-FFF2-40B4-BE49-F238E27FC236}">
                <a16:creationId xmlns:a16="http://schemas.microsoft.com/office/drawing/2014/main" id="{00000000-0008-0000-1300-00000F540000}"/>
              </a:ext>
            </a:extLst>
          </xdr:cNvPr>
          <xdr:cNvSpPr>
            <a:spLocks noChangeArrowheads="1"/>
          </xdr:cNvSpPr>
        </xdr:nvSpPr>
        <xdr:spPr bwMode="auto">
          <a:xfrm rot="5400000">
            <a:off x="738" y="3428"/>
            <a:ext cx="238" cy="259"/>
          </a:xfrm>
          <a:prstGeom prst="flowChartExtract">
            <a:avLst/>
          </a:prstGeom>
          <a:solidFill>
            <a:srgbClr val="BBE0E3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700"/>
              </a:lnSpc>
              <a:defRPr sz="1000"/>
            </a:pPr>
            <a:endParaRPr lang="zh-TW" altLang="en-US" sz="8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lnSpc>
                <a:spcPts val="700"/>
              </a:lnSpc>
              <a:defRPr sz="1000"/>
            </a:pPr>
            <a:endParaRPr lang="zh-TW" altLang="en-US" sz="8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20" name="AutoShape 16">
            <a:extLst>
              <a:ext uri="{FF2B5EF4-FFF2-40B4-BE49-F238E27FC236}">
                <a16:creationId xmlns:a16="http://schemas.microsoft.com/office/drawing/2014/main" id="{00000000-0008-0000-1300-000010540000}"/>
              </a:ext>
            </a:extLst>
          </xdr:cNvPr>
          <xdr:cNvSpPr>
            <a:spLocks noChangeArrowheads="1"/>
          </xdr:cNvSpPr>
        </xdr:nvSpPr>
        <xdr:spPr bwMode="auto">
          <a:xfrm rot="5400000">
            <a:off x="4958" y="987"/>
            <a:ext cx="196" cy="141"/>
          </a:xfrm>
          <a:prstGeom prst="flowChartExtract">
            <a:avLst/>
          </a:prstGeom>
          <a:solidFill>
            <a:srgbClr val="BBE0E3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700"/>
              </a:lnSpc>
              <a:defRPr sz="1000"/>
            </a:pPr>
            <a:endParaRPr lang="zh-TW" altLang="en-US" sz="8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lnSpc>
                <a:spcPts val="700"/>
              </a:lnSpc>
              <a:defRPr sz="1000"/>
            </a:pPr>
            <a:endParaRPr lang="zh-TW" altLang="en-US" sz="8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21" name="Rectangle 17">
            <a:extLst>
              <a:ext uri="{FF2B5EF4-FFF2-40B4-BE49-F238E27FC236}">
                <a16:creationId xmlns:a16="http://schemas.microsoft.com/office/drawing/2014/main" id="{00000000-0008-0000-1300-000011540000}"/>
              </a:ext>
            </a:extLst>
          </xdr:cNvPr>
          <xdr:cNvSpPr>
            <a:spLocks noChangeArrowheads="1"/>
          </xdr:cNvSpPr>
        </xdr:nvSpPr>
        <xdr:spPr bwMode="auto">
          <a:xfrm>
            <a:off x="96" y="3463"/>
            <a:ext cx="631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1100"/>
              </a:lnSpc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  GMCH Die</a:t>
            </a:r>
          </a:p>
          <a:p>
            <a:pPr algn="l" rtl="1">
              <a:lnSpc>
                <a:spcPts val="1100"/>
              </a:lnSpc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22" name="AutoShape 18">
            <a:extLst>
              <a:ext uri="{FF2B5EF4-FFF2-40B4-BE49-F238E27FC236}">
                <a16:creationId xmlns:a16="http://schemas.microsoft.com/office/drawing/2014/main" id="{00000000-0008-0000-1300-000012540000}"/>
              </a:ext>
            </a:extLst>
          </xdr:cNvPr>
          <xdr:cNvSpPr>
            <a:spLocks noChangeArrowheads="1"/>
          </xdr:cNvSpPr>
        </xdr:nvSpPr>
        <xdr:spPr bwMode="auto">
          <a:xfrm rot="5400000" flipH="1" flipV="1">
            <a:off x="2395" y="3437"/>
            <a:ext cx="95" cy="242"/>
          </a:xfrm>
          <a:prstGeom prst="can">
            <a:avLst>
              <a:gd name="adj" fmla="val 62500"/>
            </a:avLst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vert="wordArtVertRtl" wrap="square" lIns="91440" tIns="45720" rIns="91440" bIns="45720" anchor="b" upright="1"/>
          <a:lstStyle/>
          <a:p>
            <a:pPr algn="l" rtl="1">
              <a:defRPr sz="1000"/>
            </a:pPr>
            <a:r>
              <a:rPr lang="en-US" altLang="zh-TW" sz="1000" b="0" i="0" strike="noStrike">
                <a:solidFill>
                  <a:srgbClr val="000000"/>
                </a:solidFill>
                <a:latin typeface="Arial"/>
                <a:cs typeface="Arial"/>
              </a:rPr>
              <a:t>L2</a:t>
            </a:r>
          </a:p>
          <a:p>
            <a:pPr algn="l" rtl="1">
              <a:defRPr sz="1000"/>
            </a:pPr>
            <a:endParaRPr lang="en-US" altLang="zh-TW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75660" name="Line 19">
            <a:extLst>
              <a:ext uri="{FF2B5EF4-FFF2-40B4-BE49-F238E27FC236}">
                <a16:creationId xmlns:a16="http://schemas.microsoft.com/office/drawing/2014/main" id="{00000000-0008-0000-1300-00008C270100}"/>
              </a:ext>
            </a:extLst>
          </xdr:cNvPr>
          <xdr:cNvSpPr>
            <a:spLocks noChangeShapeType="1"/>
          </xdr:cNvSpPr>
        </xdr:nvSpPr>
        <xdr:spPr bwMode="auto">
          <a:xfrm>
            <a:off x="2052" y="3558"/>
            <a:ext cx="303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661" name="Line 20">
            <a:extLst>
              <a:ext uri="{FF2B5EF4-FFF2-40B4-BE49-F238E27FC236}">
                <a16:creationId xmlns:a16="http://schemas.microsoft.com/office/drawing/2014/main" id="{00000000-0008-0000-1300-00008D270100}"/>
              </a:ext>
            </a:extLst>
          </xdr:cNvPr>
          <xdr:cNvSpPr>
            <a:spLocks noChangeShapeType="1"/>
          </xdr:cNvSpPr>
        </xdr:nvSpPr>
        <xdr:spPr bwMode="auto">
          <a:xfrm flipV="1">
            <a:off x="3783" y="1296"/>
            <a:ext cx="300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662" name="Line 21">
            <a:extLst>
              <a:ext uri="{FF2B5EF4-FFF2-40B4-BE49-F238E27FC236}">
                <a16:creationId xmlns:a16="http://schemas.microsoft.com/office/drawing/2014/main" id="{00000000-0008-0000-1300-00008E270100}"/>
              </a:ext>
            </a:extLst>
          </xdr:cNvPr>
          <xdr:cNvSpPr>
            <a:spLocks noChangeShapeType="1"/>
          </xdr:cNvSpPr>
        </xdr:nvSpPr>
        <xdr:spPr bwMode="auto">
          <a:xfrm>
            <a:off x="2565" y="3558"/>
            <a:ext cx="630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663" name="Line 22">
            <a:extLst>
              <a:ext uri="{FF2B5EF4-FFF2-40B4-BE49-F238E27FC236}">
                <a16:creationId xmlns:a16="http://schemas.microsoft.com/office/drawing/2014/main" id="{00000000-0008-0000-1300-00008F270100}"/>
              </a:ext>
            </a:extLst>
          </xdr:cNvPr>
          <xdr:cNvSpPr>
            <a:spLocks noChangeShapeType="1"/>
          </xdr:cNvSpPr>
        </xdr:nvSpPr>
        <xdr:spPr bwMode="auto">
          <a:xfrm flipV="1">
            <a:off x="3774" y="2832"/>
            <a:ext cx="390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664" name="Line 23">
            <a:extLst>
              <a:ext uri="{FF2B5EF4-FFF2-40B4-BE49-F238E27FC236}">
                <a16:creationId xmlns:a16="http://schemas.microsoft.com/office/drawing/2014/main" id="{00000000-0008-0000-1300-000090270100}"/>
              </a:ext>
            </a:extLst>
          </xdr:cNvPr>
          <xdr:cNvSpPr>
            <a:spLocks noChangeShapeType="1"/>
          </xdr:cNvSpPr>
        </xdr:nvSpPr>
        <xdr:spPr bwMode="auto">
          <a:xfrm>
            <a:off x="3351" y="2352"/>
            <a:ext cx="129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665" name="Line 24">
            <a:extLst>
              <a:ext uri="{FF2B5EF4-FFF2-40B4-BE49-F238E27FC236}">
                <a16:creationId xmlns:a16="http://schemas.microsoft.com/office/drawing/2014/main" id="{00000000-0008-0000-1300-000091270100}"/>
              </a:ext>
            </a:extLst>
          </xdr:cNvPr>
          <xdr:cNvSpPr>
            <a:spLocks noChangeShapeType="1"/>
          </xdr:cNvSpPr>
        </xdr:nvSpPr>
        <xdr:spPr bwMode="auto">
          <a:xfrm flipV="1">
            <a:off x="3351" y="1776"/>
            <a:ext cx="0" cy="38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529" name="Rectangle 25">
            <a:extLst>
              <a:ext uri="{FF2B5EF4-FFF2-40B4-BE49-F238E27FC236}">
                <a16:creationId xmlns:a16="http://schemas.microsoft.com/office/drawing/2014/main" id="{00000000-0008-0000-1300-000019540000}"/>
              </a:ext>
            </a:extLst>
          </xdr:cNvPr>
          <xdr:cNvSpPr>
            <a:spLocks noChangeArrowheads="1"/>
          </xdr:cNvSpPr>
        </xdr:nvSpPr>
        <xdr:spPr bwMode="auto">
          <a:xfrm>
            <a:off x="5115" y="965"/>
            <a:ext cx="575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1000"/>
              </a:lnSpc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SDRAM 1</a:t>
            </a:r>
          </a:p>
          <a:p>
            <a:pPr algn="l" rtl="1">
              <a:lnSpc>
                <a:spcPts val="1200"/>
              </a:lnSpc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30" name="AutoShape 26">
            <a:extLst>
              <a:ext uri="{FF2B5EF4-FFF2-40B4-BE49-F238E27FC236}">
                <a16:creationId xmlns:a16="http://schemas.microsoft.com/office/drawing/2014/main" id="{00000000-0008-0000-1300-00001A540000}"/>
              </a:ext>
            </a:extLst>
          </xdr:cNvPr>
          <xdr:cNvSpPr>
            <a:spLocks noChangeArrowheads="1"/>
          </xdr:cNvSpPr>
        </xdr:nvSpPr>
        <xdr:spPr bwMode="auto">
          <a:xfrm rot="5400000">
            <a:off x="4958" y="1225"/>
            <a:ext cx="196" cy="141"/>
          </a:xfrm>
          <a:prstGeom prst="flowChartExtract">
            <a:avLst/>
          </a:prstGeom>
          <a:solidFill>
            <a:srgbClr val="BBE0E3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800"/>
              </a:lnSpc>
              <a:defRPr sz="1000"/>
            </a:pPr>
            <a:endParaRPr lang="zh-TW" altLang="en-US" sz="8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lnSpc>
                <a:spcPts val="700"/>
              </a:lnSpc>
              <a:defRPr sz="1000"/>
            </a:pPr>
            <a:endParaRPr lang="zh-TW" altLang="en-US" sz="8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31" name="Rectangle 27">
            <a:extLst>
              <a:ext uri="{FF2B5EF4-FFF2-40B4-BE49-F238E27FC236}">
                <a16:creationId xmlns:a16="http://schemas.microsoft.com/office/drawing/2014/main" id="{00000000-0008-0000-1300-00001B540000}"/>
              </a:ext>
            </a:extLst>
          </xdr:cNvPr>
          <xdr:cNvSpPr>
            <a:spLocks noChangeArrowheads="1"/>
          </xdr:cNvSpPr>
        </xdr:nvSpPr>
        <xdr:spPr bwMode="auto">
          <a:xfrm>
            <a:off x="5115" y="1203"/>
            <a:ext cx="575" cy="17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1200"/>
              </a:lnSpc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SDRAM 2</a:t>
            </a:r>
          </a:p>
          <a:p>
            <a:pPr algn="l" rtl="1">
              <a:lnSpc>
                <a:spcPts val="1000"/>
              </a:lnSpc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32" name="AutoShape 28">
            <a:extLst>
              <a:ext uri="{FF2B5EF4-FFF2-40B4-BE49-F238E27FC236}">
                <a16:creationId xmlns:a16="http://schemas.microsoft.com/office/drawing/2014/main" id="{00000000-0008-0000-1300-00001C540000}"/>
              </a:ext>
            </a:extLst>
          </xdr:cNvPr>
          <xdr:cNvSpPr>
            <a:spLocks noChangeArrowheads="1"/>
          </xdr:cNvSpPr>
        </xdr:nvSpPr>
        <xdr:spPr bwMode="auto">
          <a:xfrm rot="5400000">
            <a:off x="4961" y="1466"/>
            <a:ext cx="190" cy="141"/>
          </a:xfrm>
          <a:prstGeom prst="flowChartExtract">
            <a:avLst/>
          </a:prstGeom>
          <a:solidFill>
            <a:srgbClr val="BBE0E3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700"/>
              </a:lnSpc>
              <a:defRPr sz="1000"/>
            </a:pPr>
            <a:endParaRPr lang="zh-TW" altLang="en-US" sz="8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lnSpc>
                <a:spcPts val="700"/>
              </a:lnSpc>
              <a:defRPr sz="1000"/>
            </a:pPr>
            <a:endParaRPr lang="zh-TW" altLang="en-US" sz="8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33" name="Rectangle 29">
            <a:extLst>
              <a:ext uri="{FF2B5EF4-FFF2-40B4-BE49-F238E27FC236}">
                <a16:creationId xmlns:a16="http://schemas.microsoft.com/office/drawing/2014/main" id="{00000000-0008-0000-1300-00001D540000}"/>
              </a:ext>
            </a:extLst>
          </xdr:cNvPr>
          <xdr:cNvSpPr>
            <a:spLocks noChangeArrowheads="1"/>
          </xdr:cNvSpPr>
        </xdr:nvSpPr>
        <xdr:spPr bwMode="auto">
          <a:xfrm>
            <a:off x="5115" y="1447"/>
            <a:ext cx="575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1100"/>
              </a:lnSpc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SDRAM 3</a:t>
            </a:r>
          </a:p>
          <a:p>
            <a:pPr algn="l" rtl="1">
              <a:lnSpc>
                <a:spcPts val="1100"/>
              </a:lnSpc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34" name="AutoShape 30">
            <a:extLst>
              <a:ext uri="{FF2B5EF4-FFF2-40B4-BE49-F238E27FC236}">
                <a16:creationId xmlns:a16="http://schemas.microsoft.com/office/drawing/2014/main" id="{00000000-0008-0000-1300-00001E540000}"/>
              </a:ext>
            </a:extLst>
          </xdr:cNvPr>
          <xdr:cNvSpPr>
            <a:spLocks noChangeArrowheads="1"/>
          </xdr:cNvSpPr>
        </xdr:nvSpPr>
        <xdr:spPr bwMode="auto">
          <a:xfrm rot="5400000">
            <a:off x="4961" y="1703"/>
            <a:ext cx="190" cy="141"/>
          </a:xfrm>
          <a:prstGeom prst="flowChartExtract">
            <a:avLst/>
          </a:prstGeom>
          <a:solidFill>
            <a:srgbClr val="BBE0E3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700"/>
              </a:lnSpc>
              <a:defRPr sz="1000"/>
            </a:pPr>
            <a:endParaRPr lang="zh-TW" altLang="en-US" sz="8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lnSpc>
                <a:spcPts val="700"/>
              </a:lnSpc>
              <a:defRPr sz="1000"/>
            </a:pPr>
            <a:endParaRPr lang="zh-TW" altLang="en-US" sz="8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35" name="Rectangle 31">
            <a:extLst>
              <a:ext uri="{FF2B5EF4-FFF2-40B4-BE49-F238E27FC236}">
                <a16:creationId xmlns:a16="http://schemas.microsoft.com/office/drawing/2014/main" id="{00000000-0008-0000-1300-00001F540000}"/>
              </a:ext>
            </a:extLst>
          </xdr:cNvPr>
          <xdr:cNvSpPr>
            <a:spLocks noChangeArrowheads="1"/>
          </xdr:cNvSpPr>
        </xdr:nvSpPr>
        <xdr:spPr bwMode="auto">
          <a:xfrm>
            <a:off x="5115" y="1685"/>
            <a:ext cx="575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1100"/>
              </a:lnSpc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SDRAM 4</a:t>
            </a:r>
          </a:p>
          <a:p>
            <a:pPr algn="l" rtl="1">
              <a:lnSpc>
                <a:spcPts val="1100"/>
              </a:lnSpc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36" name="AutoShape 32">
            <a:extLst>
              <a:ext uri="{FF2B5EF4-FFF2-40B4-BE49-F238E27FC236}">
                <a16:creationId xmlns:a16="http://schemas.microsoft.com/office/drawing/2014/main" id="{00000000-0008-0000-1300-000020540000}"/>
              </a:ext>
            </a:extLst>
          </xdr:cNvPr>
          <xdr:cNvSpPr>
            <a:spLocks noChangeArrowheads="1"/>
          </xdr:cNvSpPr>
        </xdr:nvSpPr>
        <xdr:spPr bwMode="auto">
          <a:xfrm rot="5400000">
            <a:off x="4961" y="2280"/>
            <a:ext cx="190" cy="141"/>
          </a:xfrm>
          <a:prstGeom prst="flowChartExtract">
            <a:avLst/>
          </a:prstGeom>
          <a:solidFill>
            <a:srgbClr val="BBE0E3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700"/>
              </a:lnSpc>
              <a:defRPr sz="1000"/>
            </a:pPr>
            <a:endParaRPr lang="zh-TW" altLang="en-US" sz="8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lnSpc>
                <a:spcPts val="700"/>
              </a:lnSpc>
              <a:defRPr sz="1000"/>
            </a:pPr>
            <a:endParaRPr lang="zh-TW" altLang="en-US" sz="8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37" name="Rectangle 33">
            <a:extLst>
              <a:ext uri="{FF2B5EF4-FFF2-40B4-BE49-F238E27FC236}">
                <a16:creationId xmlns:a16="http://schemas.microsoft.com/office/drawing/2014/main" id="{00000000-0008-0000-1300-000021540000}"/>
              </a:ext>
            </a:extLst>
          </xdr:cNvPr>
          <xdr:cNvSpPr>
            <a:spLocks noChangeArrowheads="1"/>
          </xdr:cNvSpPr>
        </xdr:nvSpPr>
        <xdr:spPr bwMode="auto">
          <a:xfrm>
            <a:off x="5115" y="2262"/>
            <a:ext cx="575" cy="17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1100"/>
              </a:lnSpc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SDRAM 5</a:t>
            </a:r>
          </a:p>
          <a:p>
            <a:pPr algn="l" rtl="1">
              <a:lnSpc>
                <a:spcPts val="1100"/>
              </a:lnSpc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38" name="AutoShape 34">
            <a:extLst>
              <a:ext uri="{FF2B5EF4-FFF2-40B4-BE49-F238E27FC236}">
                <a16:creationId xmlns:a16="http://schemas.microsoft.com/office/drawing/2014/main" id="{00000000-0008-0000-1300-000022540000}"/>
              </a:ext>
            </a:extLst>
          </xdr:cNvPr>
          <xdr:cNvSpPr>
            <a:spLocks noChangeArrowheads="1"/>
          </xdr:cNvSpPr>
        </xdr:nvSpPr>
        <xdr:spPr bwMode="auto">
          <a:xfrm rot="5400000">
            <a:off x="4961" y="2524"/>
            <a:ext cx="190" cy="141"/>
          </a:xfrm>
          <a:prstGeom prst="flowChartExtract">
            <a:avLst/>
          </a:prstGeom>
          <a:solidFill>
            <a:srgbClr val="BBE0E3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700"/>
              </a:lnSpc>
              <a:defRPr sz="1000"/>
            </a:pPr>
            <a:endParaRPr lang="zh-TW" altLang="en-US" sz="8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lnSpc>
                <a:spcPts val="700"/>
              </a:lnSpc>
              <a:defRPr sz="1000"/>
            </a:pPr>
            <a:endParaRPr lang="zh-TW" altLang="en-US" sz="8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39" name="Rectangle 35">
            <a:extLst>
              <a:ext uri="{FF2B5EF4-FFF2-40B4-BE49-F238E27FC236}">
                <a16:creationId xmlns:a16="http://schemas.microsoft.com/office/drawing/2014/main" id="{00000000-0008-0000-1300-000023540000}"/>
              </a:ext>
            </a:extLst>
          </xdr:cNvPr>
          <xdr:cNvSpPr>
            <a:spLocks noChangeArrowheads="1"/>
          </xdr:cNvSpPr>
        </xdr:nvSpPr>
        <xdr:spPr bwMode="auto">
          <a:xfrm>
            <a:off x="5115" y="2499"/>
            <a:ext cx="575" cy="17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1200"/>
              </a:lnSpc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SDRAM 6</a:t>
            </a:r>
          </a:p>
          <a:p>
            <a:pPr algn="l" rtl="1">
              <a:lnSpc>
                <a:spcPts val="1100"/>
              </a:lnSpc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40" name="AutoShape 36">
            <a:extLst>
              <a:ext uri="{FF2B5EF4-FFF2-40B4-BE49-F238E27FC236}">
                <a16:creationId xmlns:a16="http://schemas.microsoft.com/office/drawing/2014/main" id="{00000000-0008-0000-1300-000024540000}"/>
              </a:ext>
            </a:extLst>
          </xdr:cNvPr>
          <xdr:cNvSpPr>
            <a:spLocks noChangeArrowheads="1"/>
          </xdr:cNvSpPr>
        </xdr:nvSpPr>
        <xdr:spPr bwMode="auto">
          <a:xfrm rot="5400000">
            <a:off x="4961" y="2762"/>
            <a:ext cx="190" cy="141"/>
          </a:xfrm>
          <a:prstGeom prst="flowChartExtract">
            <a:avLst/>
          </a:prstGeom>
          <a:solidFill>
            <a:srgbClr val="BBE0E3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700"/>
              </a:lnSpc>
              <a:defRPr sz="1000"/>
            </a:pPr>
            <a:endParaRPr lang="zh-TW" altLang="en-US" sz="8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lnSpc>
                <a:spcPts val="700"/>
              </a:lnSpc>
              <a:defRPr sz="1000"/>
            </a:pPr>
            <a:endParaRPr lang="zh-TW" altLang="en-US" sz="8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41" name="Rectangle 37">
            <a:extLst>
              <a:ext uri="{FF2B5EF4-FFF2-40B4-BE49-F238E27FC236}">
                <a16:creationId xmlns:a16="http://schemas.microsoft.com/office/drawing/2014/main" id="{00000000-0008-0000-1300-000025540000}"/>
              </a:ext>
            </a:extLst>
          </xdr:cNvPr>
          <xdr:cNvSpPr>
            <a:spLocks noChangeArrowheads="1"/>
          </xdr:cNvSpPr>
        </xdr:nvSpPr>
        <xdr:spPr bwMode="auto">
          <a:xfrm>
            <a:off x="5115" y="2737"/>
            <a:ext cx="575" cy="17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1200"/>
              </a:lnSpc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SDRAM 7</a:t>
            </a:r>
          </a:p>
          <a:p>
            <a:pPr algn="l" rtl="1">
              <a:lnSpc>
                <a:spcPts val="1000"/>
              </a:lnSpc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42" name="AutoShape 38">
            <a:extLst>
              <a:ext uri="{FF2B5EF4-FFF2-40B4-BE49-F238E27FC236}">
                <a16:creationId xmlns:a16="http://schemas.microsoft.com/office/drawing/2014/main" id="{00000000-0008-0000-1300-000026540000}"/>
              </a:ext>
            </a:extLst>
          </xdr:cNvPr>
          <xdr:cNvSpPr>
            <a:spLocks noChangeArrowheads="1"/>
          </xdr:cNvSpPr>
        </xdr:nvSpPr>
        <xdr:spPr bwMode="auto">
          <a:xfrm rot="5400000">
            <a:off x="4961" y="3000"/>
            <a:ext cx="190" cy="141"/>
          </a:xfrm>
          <a:prstGeom prst="flowChartExtract">
            <a:avLst/>
          </a:prstGeom>
          <a:solidFill>
            <a:srgbClr val="BBE0E3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700"/>
              </a:lnSpc>
              <a:defRPr sz="1000"/>
            </a:pPr>
            <a:endParaRPr lang="zh-TW" altLang="en-US" sz="8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lnSpc>
                <a:spcPts val="700"/>
              </a:lnSpc>
              <a:defRPr sz="1000"/>
            </a:pPr>
            <a:endParaRPr lang="zh-TW" altLang="en-US" sz="8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43" name="Rectangle 39">
            <a:extLst>
              <a:ext uri="{FF2B5EF4-FFF2-40B4-BE49-F238E27FC236}">
                <a16:creationId xmlns:a16="http://schemas.microsoft.com/office/drawing/2014/main" id="{00000000-0008-0000-1300-000027540000}"/>
              </a:ext>
            </a:extLst>
          </xdr:cNvPr>
          <xdr:cNvSpPr>
            <a:spLocks noChangeArrowheads="1"/>
          </xdr:cNvSpPr>
        </xdr:nvSpPr>
        <xdr:spPr bwMode="auto">
          <a:xfrm>
            <a:off x="5115" y="2981"/>
            <a:ext cx="575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1100"/>
              </a:lnSpc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SDRAM 8</a:t>
            </a:r>
          </a:p>
          <a:p>
            <a:pPr algn="l" rtl="1">
              <a:lnSpc>
                <a:spcPts val="1100"/>
              </a:lnSpc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75681" name="Line 40">
            <a:extLst>
              <a:ext uri="{FF2B5EF4-FFF2-40B4-BE49-F238E27FC236}">
                <a16:creationId xmlns:a16="http://schemas.microsoft.com/office/drawing/2014/main" id="{00000000-0008-0000-1300-0000A1270100}"/>
              </a:ext>
            </a:extLst>
          </xdr:cNvPr>
          <xdr:cNvSpPr>
            <a:spLocks noChangeShapeType="1"/>
          </xdr:cNvSpPr>
        </xdr:nvSpPr>
        <xdr:spPr bwMode="auto">
          <a:xfrm>
            <a:off x="4839" y="1296"/>
            <a:ext cx="144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682" name="Line 41">
            <a:extLst>
              <a:ext uri="{FF2B5EF4-FFF2-40B4-BE49-F238E27FC236}">
                <a16:creationId xmlns:a16="http://schemas.microsoft.com/office/drawing/2014/main" id="{00000000-0008-0000-1300-0000A2270100}"/>
              </a:ext>
            </a:extLst>
          </xdr:cNvPr>
          <xdr:cNvSpPr>
            <a:spLocks noChangeShapeType="1"/>
          </xdr:cNvSpPr>
        </xdr:nvSpPr>
        <xdr:spPr bwMode="auto">
          <a:xfrm>
            <a:off x="4839" y="1536"/>
            <a:ext cx="144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683" name="Line 42">
            <a:extLst>
              <a:ext uri="{FF2B5EF4-FFF2-40B4-BE49-F238E27FC236}">
                <a16:creationId xmlns:a16="http://schemas.microsoft.com/office/drawing/2014/main" id="{00000000-0008-0000-1300-0000A3270100}"/>
              </a:ext>
            </a:extLst>
          </xdr:cNvPr>
          <xdr:cNvSpPr>
            <a:spLocks noChangeShapeType="1"/>
          </xdr:cNvSpPr>
        </xdr:nvSpPr>
        <xdr:spPr bwMode="auto">
          <a:xfrm>
            <a:off x="4839" y="1776"/>
            <a:ext cx="144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684" name="Line 43">
            <a:extLst>
              <a:ext uri="{FF2B5EF4-FFF2-40B4-BE49-F238E27FC236}">
                <a16:creationId xmlns:a16="http://schemas.microsoft.com/office/drawing/2014/main" id="{00000000-0008-0000-1300-0000A4270100}"/>
              </a:ext>
            </a:extLst>
          </xdr:cNvPr>
          <xdr:cNvSpPr>
            <a:spLocks noChangeShapeType="1"/>
          </xdr:cNvSpPr>
        </xdr:nvSpPr>
        <xdr:spPr bwMode="auto">
          <a:xfrm>
            <a:off x="4839" y="2352"/>
            <a:ext cx="144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685" name="Line 44">
            <a:extLst>
              <a:ext uri="{FF2B5EF4-FFF2-40B4-BE49-F238E27FC236}">
                <a16:creationId xmlns:a16="http://schemas.microsoft.com/office/drawing/2014/main" id="{00000000-0008-0000-1300-0000A5270100}"/>
              </a:ext>
            </a:extLst>
          </xdr:cNvPr>
          <xdr:cNvSpPr>
            <a:spLocks noChangeShapeType="1"/>
          </xdr:cNvSpPr>
        </xdr:nvSpPr>
        <xdr:spPr bwMode="auto">
          <a:xfrm>
            <a:off x="4839" y="2592"/>
            <a:ext cx="144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686" name="Line 45">
            <a:extLst>
              <a:ext uri="{FF2B5EF4-FFF2-40B4-BE49-F238E27FC236}">
                <a16:creationId xmlns:a16="http://schemas.microsoft.com/office/drawing/2014/main" id="{00000000-0008-0000-1300-0000A6270100}"/>
              </a:ext>
            </a:extLst>
          </xdr:cNvPr>
          <xdr:cNvSpPr>
            <a:spLocks noChangeShapeType="1"/>
          </xdr:cNvSpPr>
        </xdr:nvSpPr>
        <xdr:spPr bwMode="auto">
          <a:xfrm>
            <a:off x="4839" y="2832"/>
            <a:ext cx="144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687" name="Line 46">
            <a:extLst>
              <a:ext uri="{FF2B5EF4-FFF2-40B4-BE49-F238E27FC236}">
                <a16:creationId xmlns:a16="http://schemas.microsoft.com/office/drawing/2014/main" id="{00000000-0008-0000-1300-0000A7270100}"/>
              </a:ext>
            </a:extLst>
          </xdr:cNvPr>
          <xdr:cNvSpPr>
            <a:spLocks noChangeShapeType="1"/>
          </xdr:cNvSpPr>
        </xdr:nvSpPr>
        <xdr:spPr bwMode="auto">
          <a:xfrm>
            <a:off x="4839" y="3072"/>
            <a:ext cx="144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551" name="AutoShape 47">
            <a:extLst>
              <a:ext uri="{FF2B5EF4-FFF2-40B4-BE49-F238E27FC236}">
                <a16:creationId xmlns:a16="http://schemas.microsoft.com/office/drawing/2014/main" id="{00000000-0008-0000-1300-00002F540000}"/>
              </a:ext>
            </a:extLst>
          </xdr:cNvPr>
          <xdr:cNvSpPr>
            <a:spLocks noChangeArrowheads="1"/>
          </xdr:cNvSpPr>
        </xdr:nvSpPr>
        <xdr:spPr bwMode="auto">
          <a:xfrm rot="5400000" flipH="1" flipV="1">
            <a:off x="4671" y="1177"/>
            <a:ext cx="95" cy="242"/>
          </a:xfrm>
          <a:prstGeom prst="can">
            <a:avLst>
              <a:gd name="adj" fmla="val 62500"/>
            </a:avLst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vert="wordArtVertRtl" wrap="square" lIns="91440" tIns="45720" rIns="91440" bIns="45720" anchor="b" upright="1"/>
          <a:lstStyle/>
          <a:p>
            <a:pPr algn="l" rtl="1">
              <a:defRPr sz="1000"/>
            </a:pPr>
            <a:r>
              <a:rPr lang="en-US" altLang="zh-TW" sz="1000" b="0" i="0" strike="noStrike">
                <a:solidFill>
                  <a:srgbClr val="000000"/>
                </a:solidFill>
                <a:latin typeface="Arial"/>
                <a:cs typeface="Arial"/>
              </a:rPr>
              <a:t>L8</a:t>
            </a:r>
          </a:p>
          <a:p>
            <a:pPr algn="l" rtl="1">
              <a:lnSpc>
                <a:spcPts val="1100"/>
              </a:lnSpc>
              <a:defRPr sz="1000"/>
            </a:pPr>
            <a:endParaRPr lang="en-US" altLang="zh-TW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52" name="AutoShape 48">
            <a:extLst>
              <a:ext uri="{FF2B5EF4-FFF2-40B4-BE49-F238E27FC236}">
                <a16:creationId xmlns:a16="http://schemas.microsoft.com/office/drawing/2014/main" id="{00000000-0008-0000-1300-000030540000}"/>
              </a:ext>
            </a:extLst>
          </xdr:cNvPr>
          <xdr:cNvSpPr>
            <a:spLocks noChangeArrowheads="1"/>
          </xdr:cNvSpPr>
        </xdr:nvSpPr>
        <xdr:spPr bwMode="auto">
          <a:xfrm rot="5400000" flipH="1" flipV="1">
            <a:off x="4671" y="1415"/>
            <a:ext cx="95" cy="242"/>
          </a:xfrm>
          <a:prstGeom prst="can">
            <a:avLst>
              <a:gd name="adj" fmla="val 62500"/>
            </a:avLst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vert="wordArtVertRtl" wrap="square" lIns="91440" tIns="45720" rIns="91440" bIns="45720" anchor="b" upright="1"/>
          <a:lstStyle/>
          <a:p>
            <a:pPr algn="l" rtl="1">
              <a:defRPr sz="1000"/>
            </a:pPr>
            <a:r>
              <a:rPr lang="en-US" altLang="zh-TW" sz="1000" b="0" i="0" strike="noStrike">
                <a:solidFill>
                  <a:srgbClr val="000000"/>
                </a:solidFill>
                <a:latin typeface="Arial"/>
                <a:cs typeface="Arial"/>
              </a:rPr>
              <a:t>L8</a:t>
            </a:r>
          </a:p>
          <a:p>
            <a:pPr algn="l" rtl="1">
              <a:lnSpc>
                <a:spcPts val="1100"/>
              </a:lnSpc>
              <a:defRPr sz="1000"/>
            </a:pPr>
            <a:endParaRPr lang="en-US" altLang="zh-TW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53" name="AutoShape 49">
            <a:extLst>
              <a:ext uri="{FF2B5EF4-FFF2-40B4-BE49-F238E27FC236}">
                <a16:creationId xmlns:a16="http://schemas.microsoft.com/office/drawing/2014/main" id="{00000000-0008-0000-1300-000031540000}"/>
              </a:ext>
            </a:extLst>
          </xdr:cNvPr>
          <xdr:cNvSpPr>
            <a:spLocks noChangeArrowheads="1"/>
          </xdr:cNvSpPr>
        </xdr:nvSpPr>
        <xdr:spPr bwMode="auto">
          <a:xfrm rot="5400000" flipH="1" flipV="1">
            <a:off x="4668" y="1656"/>
            <a:ext cx="101" cy="242"/>
          </a:xfrm>
          <a:prstGeom prst="can">
            <a:avLst>
              <a:gd name="adj" fmla="val 62500"/>
            </a:avLst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vert="wordArtVertRtl" wrap="square" lIns="91440" tIns="45720" rIns="91440" bIns="45720" anchor="b" upright="1"/>
          <a:lstStyle/>
          <a:p>
            <a:pPr algn="l" rtl="1">
              <a:defRPr sz="1000"/>
            </a:pPr>
            <a:r>
              <a:rPr lang="en-US" altLang="zh-TW" sz="1000" b="0" i="0" strike="noStrike">
                <a:solidFill>
                  <a:srgbClr val="000000"/>
                </a:solidFill>
                <a:latin typeface="Arial"/>
                <a:cs typeface="Arial"/>
              </a:rPr>
              <a:t>L8</a:t>
            </a:r>
          </a:p>
          <a:p>
            <a:pPr algn="l" rtl="1">
              <a:lnSpc>
                <a:spcPts val="1200"/>
              </a:lnSpc>
              <a:defRPr sz="1000"/>
            </a:pPr>
            <a:endParaRPr lang="en-US" altLang="zh-TW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54" name="AutoShape 50">
            <a:extLst>
              <a:ext uri="{FF2B5EF4-FFF2-40B4-BE49-F238E27FC236}">
                <a16:creationId xmlns:a16="http://schemas.microsoft.com/office/drawing/2014/main" id="{00000000-0008-0000-1300-000032540000}"/>
              </a:ext>
            </a:extLst>
          </xdr:cNvPr>
          <xdr:cNvSpPr>
            <a:spLocks noChangeArrowheads="1"/>
          </xdr:cNvSpPr>
        </xdr:nvSpPr>
        <xdr:spPr bwMode="auto">
          <a:xfrm rot="5400000" flipH="1" flipV="1">
            <a:off x="4671" y="2230"/>
            <a:ext cx="95" cy="242"/>
          </a:xfrm>
          <a:prstGeom prst="can">
            <a:avLst>
              <a:gd name="adj" fmla="val 62500"/>
            </a:avLst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vert="wordArtVertRtl" wrap="square" lIns="91440" tIns="45720" rIns="91440" bIns="45720" anchor="b" upright="1"/>
          <a:lstStyle/>
          <a:p>
            <a:pPr algn="l" rtl="1">
              <a:defRPr sz="1000"/>
            </a:pPr>
            <a:r>
              <a:rPr lang="en-US" altLang="zh-TW" sz="1000" b="0" i="0" strike="noStrike">
                <a:solidFill>
                  <a:srgbClr val="000000"/>
                </a:solidFill>
                <a:latin typeface="Arial"/>
                <a:cs typeface="Arial"/>
              </a:rPr>
              <a:t>L8</a:t>
            </a:r>
          </a:p>
          <a:p>
            <a:pPr algn="l" rtl="1">
              <a:lnSpc>
                <a:spcPts val="1100"/>
              </a:lnSpc>
              <a:defRPr sz="1000"/>
            </a:pPr>
            <a:endParaRPr lang="en-US" altLang="zh-TW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55" name="AutoShape 51">
            <a:extLst>
              <a:ext uri="{FF2B5EF4-FFF2-40B4-BE49-F238E27FC236}">
                <a16:creationId xmlns:a16="http://schemas.microsoft.com/office/drawing/2014/main" id="{00000000-0008-0000-1300-000033540000}"/>
              </a:ext>
            </a:extLst>
          </xdr:cNvPr>
          <xdr:cNvSpPr>
            <a:spLocks noChangeArrowheads="1"/>
          </xdr:cNvSpPr>
        </xdr:nvSpPr>
        <xdr:spPr bwMode="auto">
          <a:xfrm rot="5400000" flipH="1" flipV="1">
            <a:off x="4671" y="2468"/>
            <a:ext cx="95" cy="242"/>
          </a:xfrm>
          <a:prstGeom prst="can">
            <a:avLst>
              <a:gd name="adj" fmla="val 62500"/>
            </a:avLst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vert="wordArtVertRtl" wrap="square" lIns="91440" tIns="45720" rIns="91440" bIns="45720" anchor="b" upright="1"/>
          <a:lstStyle/>
          <a:p>
            <a:pPr algn="l" rtl="1">
              <a:defRPr sz="1000"/>
            </a:pPr>
            <a:r>
              <a:rPr lang="en-US" altLang="zh-TW" sz="1000" b="0" i="0" strike="noStrike">
                <a:solidFill>
                  <a:srgbClr val="000000"/>
                </a:solidFill>
                <a:latin typeface="Arial"/>
                <a:cs typeface="Arial"/>
              </a:rPr>
              <a:t>L8</a:t>
            </a:r>
          </a:p>
          <a:p>
            <a:pPr algn="l" rtl="1">
              <a:lnSpc>
                <a:spcPts val="1100"/>
              </a:lnSpc>
              <a:defRPr sz="1000"/>
            </a:pPr>
            <a:endParaRPr lang="en-US" altLang="zh-TW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56" name="AutoShape 52">
            <a:extLst>
              <a:ext uri="{FF2B5EF4-FFF2-40B4-BE49-F238E27FC236}">
                <a16:creationId xmlns:a16="http://schemas.microsoft.com/office/drawing/2014/main" id="{00000000-0008-0000-1300-000034540000}"/>
              </a:ext>
            </a:extLst>
          </xdr:cNvPr>
          <xdr:cNvSpPr>
            <a:spLocks noChangeArrowheads="1"/>
          </xdr:cNvSpPr>
        </xdr:nvSpPr>
        <xdr:spPr bwMode="auto">
          <a:xfrm rot="5400000" flipH="1" flipV="1">
            <a:off x="4671" y="2711"/>
            <a:ext cx="95" cy="242"/>
          </a:xfrm>
          <a:prstGeom prst="can">
            <a:avLst>
              <a:gd name="adj" fmla="val 62500"/>
            </a:avLst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vert="wordArtVertRtl" wrap="square" lIns="91440" tIns="45720" rIns="91440" bIns="45720" anchor="b" upright="1"/>
          <a:lstStyle/>
          <a:p>
            <a:pPr algn="l" rtl="1">
              <a:defRPr sz="1000"/>
            </a:pPr>
            <a:r>
              <a:rPr lang="en-US" altLang="zh-TW" sz="1000" b="0" i="0" strike="noStrike">
                <a:solidFill>
                  <a:srgbClr val="000000"/>
                </a:solidFill>
                <a:latin typeface="Arial"/>
                <a:cs typeface="Arial"/>
              </a:rPr>
              <a:t>L8</a:t>
            </a:r>
          </a:p>
          <a:p>
            <a:pPr algn="l" rtl="1">
              <a:lnSpc>
                <a:spcPts val="1100"/>
              </a:lnSpc>
              <a:defRPr sz="1000"/>
            </a:pPr>
            <a:endParaRPr lang="en-US" altLang="zh-TW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57" name="AutoShape 53">
            <a:extLst>
              <a:ext uri="{FF2B5EF4-FFF2-40B4-BE49-F238E27FC236}">
                <a16:creationId xmlns:a16="http://schemas.microsoft.com/office/drawing/2014/main" id="{00000000-0008-0000-1300-000035540000}"/>
              </a:ext>
            </a:extLst>
          </xdr:cNvPr>
          <xdr:cNvSpPr>
            <a:spLocks noChangeArrowheads="1"/>
          </xdr:cNvSpPr>
        </xdr:nvSpPr>
        <xdr:spPr bwMode="auto">
          <a:xfrm rot="5400000" flipH="1" flipV="1">
            <a:off x="4668" y="2952"/>
            <a:ext cx="101" cy="242"/>
          </a:xfrm>
          <a:prstGeom prst="can">
            <a:avLst>
              <a:gd name="adj" fmla="val 62500"/>
            </a:avLst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vert="wordArtVertRtl" wrap="square" lIns="91440" tIns="45720" rIns="91440" bIns="45720" anchor="b" upright="1"/>
          <a:lstStyle/>
          <a:p>
            <a:pPr algn="l" rtl="1">
              <a:defRPr sz="1000"/>
            </a:pPr>
            <a:r>
              <a:rPr lang="en-US" altLang="zh-TW" sz="1000" b="0" i="0" strike="noStrike">
                <a:solidFill>
                  <a:srgbClr val="000000"/>
                </a:solidFill>
                <a:latin typeface="Arial"/>
                <a:cs typeface="Arial"/>
              </a:rPr>
              <a:t>L8</a:t>
            </a:r>
          </a:p>
          <a:p>
            <a:pPr algn="l" rtl="1">
              <a:lnSpc>
                <a:spcPts val="1200"/>
              </a:lnSpc>
              <a:defRPr sz="1000"/>
            </a:pPr>
            <a:endParaRPr lang="en-US" altLang="zh-TW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58" name="AutoShape 54">
            <a:extLst>
              <a:ext uri="{FF2B5EF4-FFF2-40B4-BE49-F238E27FC236}">
                <a16:creationId xmlns:a16="http://schemas.microsoft.com/office/drawing/2014/main" id="{00000000-0008-0000-1300-000036540000}"/>
              </a:ext>
            </a:extLst>
          </xdr:cNvPr>
          <xdr:cNvSpPr>
            <a:spLocks noChangeArrowheads="1"/>
          </xdr:cNvSpPr>
        </xdr:nvSpPr>
        <xdr:spPr bwMode="auto">
          <a:xfrm rot="5400000" flipH="1" flipV="1">
            <a:off x="3468" y="1656"/>
            <a:ext cx="101" cy="242"/>
          </a:xfrm>
          <a:prstGeom prst="can">
            <a:avLst>
              <a:gd name="adj" fmla="val 62500"/>
            </a:avLst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vert="wordArtVertRtl" wrap="square" lIns="91440" tIns="45720" rIns="91440" bIns="45720" anchor="b" upright="1"/>
          <a:lstStyle/>
          <a:p>
            <a:pPr algn="l" rtl="1">
              <a:defRPr sz="1000"/>
            </a:pPr>
            <a:r>
              <a:rPr lang="en-US" altLang="zh-TW" sz="1000" b="0" i="0" strike="noStrike">
                <a:solidFill>
                  <a:srgbClr val="000000"/>
                </a:solidFill>
                <a:latin typeface="Arial"/>
                <a:cs typeface="Arial"/>
              </a:rPr>
              <a:t>L6</a:t>
            </a:r>
          </a:p>
          <a:p>
            <a:pPr algn="l" rtl="1">
              <a:defRPr sz="1000"/>
            </a:pPr>
            <a:endParaRPr lang="en-US" altLang="zh-TW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59" name="AutoShape 55">
            <a:extLst>
              <a:ext uri="{FF2B5EF4-FFF2-40B4-BE49-F238E27FC236}">
                <a16:creationId xmlns:a16="http://schemas.microsoft.com/office/drawing/2014/main" id="{00000000-0008-0000-1300-000037540000}"/>
              </a:ext>
            </a:extLst>
          </xdr:cNvPr>
          <xdr:cNvSpPr>
            <a:spLocks noChangeArrowheads="1"/>
          </xdr:cNvSpPr>
        </xdr:nvSpPr>
        <xdr:spPr bwMode="auto">
          <a:xfrm rot="5400000" flipH="1" flipV="1">
            <a:off x="3519" y="2232"/>
            <a:ext cx="95" cy="237"/>
          </a:xfrm>
          <a:prstGeom prst="can">
            <a:avLst>
              <a:gd name="adj" fmla="val 62500"/>
            </a:avLst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vert="wordArtVertRtl" wrap="square" lIns="91440" tIns="45720" rIns="91440" bIns="45720" anchor="b" upright="1"/>
          <a:lstStyle/>
          <a:p>
            <a:pPr algn="l" rtl="1">
              <a:defRPr sz="1000"/>
            </a:pPr>
            <a:r>
              <a:rPr lang="en-US" altLang="zh-TW" sz="1000" b="0" i="0" strike="noStrike">
                <a:solidFill>
                  <a:srgbClr val="000000"/>
                </a:solidFill>
                <a:latin typeface="Arial"/>
                <a:cs typeface="Arial"/>
              </a:rPr>
              <a:t>L6</a:t>
            </a:r>
          </a:p>
          <a:p>
            <a:pPr algn="l" rtl="1">
              <a:lnSpc>
                <a:spcPts val="1200"/>
              </a:lnSpc>
              <a:defRPr sz="1000"/>
            </a:pPr>
            <a:endParaRPr lang="en-US" altLang="zh-TW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75697" name="Line 56">
            <a:extLst>
              <a:ext uri="{FF2B5EF4-FFF2-40B4-BE49-F238E27FC236}">
                <a16:creationId xmlns:a16="http://schemas.microsoft.com/office/drawing/2014/main" id="{00000000-0008-0000-1300-0000B1270100}"/>
              </a:ext>
            </a:extLst>
          </xdr:cNvPr>
          <xdr:cNvSpPr>
            <a:spLocks noChangeShapeType="1"/>
          </xdr:cNvSpPr>
        </xdr:nvSpPr>
        <xdr:spPr bwMode="auto">
          <a:xfrm>
            <a:off x="3351" y="1776"/>
            <a:ext cx="78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698" name="Line 57">
            <a:extLst>
              <a:ext uri="{FF2B5EF4-FFF2-40B4-BE49-F238E27FC236}">
                <a16:creationId xmlns:a16="http://schemas.microsoft.com/office/drawing/2014/main" id="{00000000-0008-0000-1300-0000B2270100}"/>
              </a:ext>
            </a:extLst>
          </xdr:cNvPr>
          <xdr:cNvSpPr>
            <a:spLocks noChangeShapeType="1"/>
          </xdr:cNvSpPr>
        </xdr:nvSpPr>
        <xdr:spPr bwMode="auto">
          <a:xfrm flipV="1">
            <a:off x="3351" y="2160"/>
            <a:ext cx="0" cy="192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699" name="Line 58">
            <a:extLst>
              <a:ext uri="{FF2B5EF4-FFF2-40B4-BE49-F238E27FC236}">
                <a16:creationId xmlns:a16="http://schemas.microsoft.com/office/drawing/2014/main" id="{00000000-0008-0000-1300-0000B3270100}"/>
              </a:ext>
            </a:extLst>
          </xdr:cNvPr>
          <xdr:cNvSpPr>
            <a:spLocks noChangeShapeType="1"/>
          </xdr:cNvSpPr>
        </xdr:nvSpPr>
        <xdr:spPr bwMode="auto">
          <a:xfrm flipV="1">
            <a:off x="3687" y="2352"/>
            <a:ext cx="936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700" name="Line 59">
            <a:extLst>
              <a:ext uri="{FF2B5EF4-FFF2-40B4-BE49-F238E27FC236}">
                <a16:creationId xmlns:a16="http://schemas.microsoft.com/office/drawing/2014/main" id="{00000000-0008-0000-1300-0000B4270100}"/>
              </a:ext>
            </a:extLst>
          </xdr:cNvPr>
          <xdr:cNvSpPr>
            <a:spLocks noChangeShapeType="1"/>
          </xdr:cNvSpPr>
        </xdr:nvSpPr>
        <xdr:spPr bwMode="auto">
          <a:xfrm flipV="1">
            <a:off x="4167" y="2352"/>
            <a:ext cx="0" cy="24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701" name="Line 60">
            <a:extLst>
              <a:ext uri="{FF2B5EF4-FFF2-40B4-BE49-F238E27FC236}">
                <a16:creationId xmlns:a16="http://schemas.microsoft.com/office/drawing/2014/main" id="{00000000-0008-0000-1300-0000B5270100}"/>
              </a:ext>
            </a:extLst>
          </xdr:cNvPr>
          <xdr:cNvSpPr>
            <a:spLocks noChangeShapeType="1"/>
          </xdr:cNvSpPr>
        </xdr:nvSpPr>
        <xdr:spPr bwMode="auto">
          <a:xfrm>
            <a:off x="4167" y="2592"/>
            <a:ext cx="459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702" name="Line 61">
            <a:extLst>
              <a:ext uri="{FF2B5EF4-FFF2-40B4-BE49-F238E27FC236}">
                <a16:creationId xmlns:a16="http://schemas.microsoft.com/office/drawing/2014/main" id="{00000000-0008-0000-1300-0000B6270100}"/>
              </a:ext>
            </a:extLst>
          </xdr:cNvPr>
          <xdr:cNvSpPr>
            <a:spLocks noChangeShapeType="1"/>
          </xdr:cNvSpPr>
        </xdr:nvSpPr>
        <xdr:spPr bwMode="auto">
          <a:xfrm flipV="1">
            <a:off x="3780" y="2352"/>
            <a:ext cx="3" cy="156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703" name="Line 62">
            <a:extLst>
              <a:ext uri="{FF2B5EF4-FFF2-40B4-BE49-F238E27FC236}">
                <a16:creationId xmlns:a16="http://schemas.microsoft.com/office/drawing/2014/main" id="{00000000-0008-0000-1300-0000B7270100}"/>
              </a:ext>
            </a:extLst>
          </xdr:cNvPr>
          <xdr:cNvSpPr>
            <a:spLocks noChangeShapeType="1"/>
          </xdr:cNvSpPr>
        </xdr:nvSpPr>
        <xdr:spPr bwMode="auto">
          <a:xfrm flipH="1" flipV="1">
            <a:off x="4167" y="2832"/>
            <a:ext cx="459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704" name="Line 63">
            <a:extLst>
              <a:ext uri="{FF2B5EF4-FFF2-40B4-BE49-F238E27FC236}">
                <a16:creationId xmlns:a16="http://schemas.microsoft.com/office/drawing/2014/main" id="{00000000-0008-0000-1300-0000B8270100}"/>
              </a:ext>
            </a:extLst>
          </xdr:cNvPr>
          <xdr:cNvSpPr>
            <a:spLocks noChangeShapeType="1"/>
          </xdr:cNvSpPr>
        </xdr:nvSpPr>
        <xdr:spPr bwMode="auto">
          <a:xfrm flipV="1">
            <a:off x="4215" y="2832"/>
            <a:ext cx="0" cy="24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705" name="Line 64">
            <a:extLst>
              <a:ext uri="{FF2B5EF4-FFF2-40B4-BE49-F238E27FC236}">
                <a16:creationId xmlns:a16="http://schemas.microsoft.com/office/drawing/2014/main" id="{00000000-0008-0000-1300-0000B9270100}"/>
              </a:ext>
            </a:extLst>
          </xdr:cNvPr>
          <xdr:cNvSpPr>
            <a:spLocks noChangeShapeType="1"/>
          </xdr:cNvSpPr>
        </xdr:nvSpPr>
        <xdr:spPr bwMode="auto">
          <a:xfrm flipH="1">
            <a:off x="4215" y="3072"/>
            <a:ext cx="408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706" name="Line 65">
            <a:extLst>
              <a:ext uri="{FF2B5EF4-FFF2-40B4-BE49-F238E27FC236}">
                <a16:creationId xmlns:a16="http://schemas.microsoft.com/office/drawing/2014/main" id="{00000000-0008-0000-1300-0000BA270100}"/>
              </a:ext>
            </a:extLst>
          </xdr:cNvPr>
          <xdr:cNvSpPr>
            <a:spLocks noChangeShapeType="1"/>
          </xdr:cNvSpPr>
        </xdr:nvSpPr>
        <xdr:spPr bwMode="auto">
          <a:xfrm flipH="1">
            <a:off x="3639" y="1776"/>
            <a:ext cx="990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707" name="Line 66">
            <a:extLst>
              <a:ext uri="{FF2B5EF4-FFF2-40B4-BE49-F238E27FC236}">
                <a16:creationId xmlns:a16="http://schemas.microsoft.com/office/drawing/2014/main" id="{00000000-0008-0000-1300-0000BB270100}"/>
              </a:ext>
            </a:extLst>
          </xdr:cNvPr>
          <xdr:cNvSpPr>
            <a:spLocks noChangeShapeType="1"/>
          </xdr:cNvSpPr>
        </xdr:nvSpPr>
        <xdr:spPr bwMode="auto">
          <a:xfrm flipH="1" flipV="1">
            <a:off x="4071" y="1296"/>
            <a:ext cx="561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708" name="Line 67">
            <a:extLst>
              <a:ext uri="{FF2B5EF4-FFF2-40B4-BE49-F238E27FC236}">
                <a16:creationId xmlns:a16="http://schemas.microsoft.com/office/drawing/2014/main" id="{00000000-0008-0000-1300-0000BC270100}"/>
              </a:ext>
            </a:extLst>
          </xdr:cNvPr>
          <xdr:cNvSpPr>
            <a:spLocks noChangeShapeType="1"/>
          </xdr:cNvSpPr>
        </xdr:nvSpPr>
        <xdr:spPr bwMode="auto">
          <a:xfrm flipV="1">
            <a:off x="4167" y="1056"/>
            <a:ext cx="0" cy="24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709" name="Line 68">
            <a:extLst>
              <a:ext uri="{FF2B5EF4-FFF2-40B4-BE49-F238E27FC236}">
                <a16:creationId xmlns:a16="http://schemas.microsoft.com/office/drawing/2014/main" id="{00000000-0008-0000-1300-0000BD270100}"/>
              </a:ext>
            </a:extLst>
          </xdr:cNvPr>
          <xdr:cNvSpPr>
            <a:spLocks noChangeShapeType="1"/>
          </xdr:cNvSpPr>
        </xdr:nvSpPr>
        <xdr:spPr bwMode="auto">
          <a:xfrm flipV="1">
            <a:off x="4167" y="1056"/>
            <a:ext cx="462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710" name="Line 69">
            <a:extLst>
              <a:ext uri="{FF2B5EF4-FFF2-40B4-BE49-F238E27FC236}">
                <a16:creationId xmlns:a16="http://schemas.microsoft.com/office/drawing/2014/main" id="{00000000-0008-0000-1300-0000BE270100}"/>
              </a:ext>
            </a:extLst>
          </xdr:cNvPr>
          <xdr:cNvSpPr>
            <a:spLocks noChangeShapeType="1"/>
          </xdr:cNvSpPr>
        </xdr:nvSpPr>
        <xdr:spPr bwMode="auto">
          <a:xfrm flipV="1">
            <a:off x="4167" y="1536"/>
            <a:ext cx="0" cy="24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711" name="Line 70">
            <a:extLst>
              <a:ext uri="{FF2B5EF4-FFF2-40B4-BE49-F238E27FC236}">
                <a16:creationId xmlns:a16="http://schemas.microsoft.com/office/drawing/2014/main" id="{00000000-0008-0000-1300-0000BF270100}"/>
              </a:ext>
            </a:extLst>
          </xdr:cNvPr>
          <xdr:cNvSpPr>
            <a:spLocks noChangeShapeType="1"/>
          </xdr:cNvSpPr>
        </xdr:nvSpPr>
        <xdr:spPr bwMode="auto">
          <a:xfrm flipV="1">
            <a:off x="4167" y="1536"/>
            <a:ext cx="459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grpSp>
        <xdr:nvGrpSpPr>
          <xdr:cNvPr id="75712" name="Group 71">
            <a:extLst>
              <a:ext uri="{FF2B5EF4-FFF2-40B4-BE49-F238E27FC236}">
                <a16:creationId xmlns:a16="http://schemas.microsoft.com/office/drawing/2014/main" id="{00000000-0008-0000-1300-0000C0270100}"/>
              </a:ext>
            </a:extLst>
          </xdr:cNvPr>
          <xdr:cNvGrpSpPr>
            <a:grpSpLocks/>
          </xdr:cNvGrpSpPr>
        </xdr:nvGrpSpPr>
        <xdr:grpSpPr bwMode="auto">
          <a:xfrm rot="10800000">
            <a:off x="4053" y="3510"/>
            <a:ext cx="288" cy="96"/>
            <a:chOff x="2832" y="2208"/>
            <a:chExt cx="336" cy="192"/>
          </a:xfrm>
        </xdr:grpSpPr>
        <xdr:sp macro="" textlink="">
          <xdr:nvSpPr>
            <xdr:cNvPr id="75766" name="Line 72">
              <a:extLst>
                <a:ext uri="{FF2B5EF4-FFF2-40B4-BE49-F238E27FC236}">
                  <a16:creationId xmlns:a16="http://schemas.microsoft.com/office/drawing/2014/main" id="{00000000-0008-0000-1300-0000F62701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2832" y="2208"/>
              <a:ext cx="48" cy="9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5767" name="Line 73">
              <a:extLst>
                <a:ext uri="{FF2B5EF4-FFF2-40B4-BE49-F238E27FC236}">
                  <a16:creationId xmlns:a16="http://schemas.microsoft.com/office/drawing/2014/main" id="{00000000-0008-0000-1300-0000F727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880" y="2208"/>
              <a:ext cx="48" cy="19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5768" name="Line 74">
              <a:extLst>
                <a:ext uri="{FF2B5EF4-FFF2-40B4-BE49-F238E27FC236}">
                  <a16:creationId xmlns:a16="http://schemas.microsoft.com/office/drawing/2014/main" id="{00000000-0008-0000-1300-0000F82701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2928" y="2208"/>
              <a:ext cx="48" cy="19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5769" name="Line 75">
              <a:extLst>
                <a:ext uri="{FF2B5EF4-FFF2-40B4-BE49-F238E27FC236}">
                  <a16:creationId xmlns:a16="http://schemas.microsoft.com/office/drawing/2014/main" id="{00000000-0008-0000-1300-0000F927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976" y="2208"/>
              <a:ext cx="48" cy="19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5770" name="Line 76">
              <a:extLst>
                <a:ext uri="{FF2B5EF4-FFF2-40B4-BE49-F238E27FC236}">
                  <a16:creationId xmlns:a16="http://schemas.microsoft.com/office/drawing/2014/main" id="{00000000-0008-0000-1300-0000FA2701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3024" y="2208"/>
              <a:ext cx="48" cy="19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5771" name="Line 77">
              <a:extLst>
                <a:ext uri="{FF2B5EF4-FFF2-40B4-BE49-F238E27FC236}">
                  <a16:creationId xmlns:a16="http://schemas.microsoft.com/office/drawing/2014/main" id="{00000000-0008-0000-1300-0000FB27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072" y="2208"/>
              <a:ext cx="48" cy="19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5772" name="Line 78">
              <a:extLst>
                <a:ext uri="{FF2B5EF4-FFF2-40B4-BE49-F238E27FC236}">
                  <a16:creationId xmlns:a16="http://schemas.microsoft.com/office/drawing/2014/main" id="{00000000-0008-0000-1300-0000FC2701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3120" y="2304"/>
              <a:ext cx="48" cy="9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</xdr:sp>
      </xdr:grpSp>
      <xdr:sp macro="" textlink="">
        <xdr:nvSpPr>
          <xdr:cNvPr id="21583" name="AutoShape 79">
            <a:extLst>
              <a:ext uri="{FF2B5EF4-FFF2-40B4-BE49-F238E27FC236}">
                <a16:creationId xmlns:a16="http://schemas.microsoft.com/office/drawing/2014/main" id="{00000000-0008-0000-1300-00004F540000}"/>
              </a:ext>
            </a:extLst>
          </xdr:cNvPr>
          <xdr:cNvSpPr>
            <a:spLocks noChangeArrowheads="1"/>
          </xdr:cNvSpPr>
        </xdr:nvSpPr>
        <xdr:spPr bwMode="auto">
          <a:xfrm rot="5400000" flipH="1" flipV="1">
            <a:off x="3674" y="3437"/>
            <a:ext cx="95" cy="242"/>
          </a:xfrm>
          <a:prstGeom prst="can">
            <a:avLst>
              <a:gd name="adj" fmla="val 62500"/>
            </a:avLst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vert="wordArtVertRtl" wrap="square" lIns="91440" tIns="45720" rIns="91440" bIns="45720" anchor="b" upright="1"/>
          <a:lstStyle/>
          <a:p>
            <a:pPr algn="l" rtl="1">
              <a:defRPr sz="1000"/>
            </a:pPr>
            <a:r>
              <a:rPr lang="en-US" altLang="zh-TW" sz="1000" b="0" i="0" strike="noStrike">
                <a:solidFill>
                  <a:srgbClr val="000000"/>
                </a:solidFill>
                <a:latin typeface="Arial"/>
                <a:cs typeface="Arial"/>
              </a:rPr>
              <a:t>L4</a:t>
            </a:r>
          </a:p>
          <a:p>
            <a:pPr algn="l" rtl="1">
              <a:defRPr sz="1000"/>
            </a:pPr>
            <a:endParaRPr lang="en-US" altLang="zh-TW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75714" name="Line 80">
            <a:extLst>
              <a:ext uri="{FF2B5EF4-FFF2-40B4-BE49-F238E27FC236}">
                <a16:creationId xmlns:a16="http://schemas.microsoft.com/office/drawing/2014/main" id="{00000000-0008-0000-1300-0000C2270100}"/>
              </a:ext>
            </a:extLst>
          </xdr:cNvPr>
          <xdr:cNvSpPr>
            <a:spLocks noChangeShapeType="1"/>
          </xdr:cNvSpPr>
        </xdr:nvSpPr>
        <xdr:spPr bwMode="auto">
          <a:xfrm>
            <a:off x="3846" y="3558"/>
            <a:ext cx="207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715" name="Line 81">
            <a:extLst>
              <a:ext uri="{FF2B5EF4-FFF2-40B4-BE49-F238E27FC236}">
                <a16:creationId xmlns:a16="http://schemas.microsoft.com/office/drawing/2014/main" id="{00000000-0008-0000-1300-0000C3270100}"/>
              </a:ext>
            </a:extLst>
          </xdr:cNvPr>
          <xdr:cNvSpPr>
            <a:spLocks noChangeShapeType="1"/>
          </xdr:cNvSpPr>
        </xdr:nvSpPr>
        <xdr:spPr bwMode="auto">
          <a:xfrm>
            <a:off x="4341" y="3558"/>
            <a:ext cx="576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716" name="Line 82">
            <a:extLst>
              <a:ext uri="{FF2B5EF4-FFF2-40B4-BE49-F238E27FC236}">
                <a16:creationId xmlns:a16="http://schemas.microsoft.com/office/drawing/2014/main" id="{00000000-0008-0000-1300-0000C4270100}"/>
              </a:ext>
            </a:extLst>
          </xdr:cNvPr>
          <xdr:cNvSpPr>
            <a:spLocks noChangeShapeType="1"/>
          </xdr:cNvSpPr>
        </xdr:nvSpPr>
        <xdr:spPr bwMode="auto">
          <a:xfrm>
            <a:off x="4821" y="3414"/>
            <a:ext cx="192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717" name="Line 83">
            <a:extLst>
              <a:ext uri="{FF2B5EF4-FFF2-40B4-BE49-F238E27FC236}">
                <a16:creationId xmlns:a16="http://schemas.microsoft.com/office/drawing/2014/main" id="{00000000-0008-0000-1300-0000C5270100}"/>
              </a:ext>
            </a:extLst>
          </xdr:cNvPr>
          <xdr:cNvSpPr>
            <a:spLocks noChangeShapeType="1"/>
          </xdr:cNvSpPr>
        </xdr:nvSpPr>
        <xdr:spPr bwMode="auto">
          <a:xfrm flipV="1">
            <a:off x="4917" y="3414"/>
            <a:ext cx="0" cy="14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588" name="Text Box 84">
            <a:extLst>
              <a:ext uri="{FF2B5EF4-FFF2-40B4-BE49-F238E27FC236}">
                <a16:creationId xmlns:a16="http://schemas.microsoft.com/office/drawing/2014/main" id="{00000000-0008-0000-1300-0000545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738" y="3249"/>
            <a:ext cx="332" cy="17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1100"/>
              </a:lnSpc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Vtt</a:t>
            </a:r>
          </a:p>
          <a:p>
            <a:pPr algn="l" rtl="1">
              <a:lnSpc>
                <a:spcPts val="1100"/>
              </a:lnSpc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89" name="Text Box 85">
            <a:extLst>
              <a:ext uri="{FF2B5EF4-FFF2-40B4-BE49-F238E27FC236}">
                <a16:creationId xmlns:a16="http://schemas.microsoft.com/office/drawing/2014/main" id="{00000000-0008-0000-1300-0000555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056" y="3368"/>
            <a:ext cx="237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900"/>
              </a:lnSpc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Rt</a:t>
            </a:r>
          </a:p>
          <a:p>
            <a:pPr algn="l" rtl="1">
              <a:lnSpc>
                <a:spcPts val="1200"/>
              </a:lnSpc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90" name="AutoShape 86">
            <a:extLst>
              <a:ext uri="{FF2B5EF4-FFF2-40B4-BE49-F238E27FC236}">
                <a16:creationId xmlns:a16="http://schemas.microsoft.com/office/drawing/2014/main" id="{00000000-0008-0000-1300-000056540000}"/>
              </a:ext>
            </a:extLst>
          </xdr:cNvPr>
          <xdr:cNvSpPr>
            <a:spLocks noChangeArrowheads="1"/>
          </xdr:cNvSpPr>
        </xdr:nvSpPr>
        <xdr:spPr bwMode="auto">
          <a:xfrm rot="5400000" flipV="1">
            <a:off x="1043" y="3454"/>
            <a:ext cx="101" cy="203"/>
          </a:xfrm>
          <a:prstGeom prst="can">
            <a:avLst>
              <a:gd name="adj" fmla="val 53385"/>
            </a:avLst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vert="wordArtVertRtl" wrap="square" lIns="91440" tIns="45720" rIns="91440" bIns="45720" anchor="b" upright="1"/>
          <a:lstStyle/>
          <a:p>
            <a:pPr algn="l" rtl="1">
              <a:defRPr sz="1000"/>
            </a:pPr>
            <a:r>
              <a:rPr lang="en-US" altLang="zh-TW" sz="1000" b="0" i="0" strike="noStrike">
                <a:solidFill>
                  <a:srgbClr val="000000"/>
                </a:solidFill>
                <a:latin typeface="Arial"/>
                <a:cs typeface="Arial"/>
              </a:rPr>
              <a:t>P1</a:t>
            </a:r>
          </a:p>
          <a:p>
            <a:pPr algn="l" rtl="1">
              <a:defRPr sz="1000"/>
            </a:pPr>
            <a:endParaRPr lang="en-US" altLang="zh-TW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91" name="AutoShape 87">
            <a:extLst>
              <a:ext uri="{FF2B5EF4-FFF2-40B4-BE49-F238E27FC236}">
                <a16:creationId xmlns:a16="http://schemas.microsoft.com/office/drawing/2014/main" id="{00000000-0008-0000-1300-000057540000}"/>
              </a:ext>
            </a:extLst>
          </xdr:cNvPr>
          <xdr:cNvSpPr>
            <a:spLocks noChangeArrowheads="1"/>
          </xdr:cNvSpPr>
        </xdr:nvSpPr>
        <xdr:spPr bwMode="auto">
          <a:xfrm rot="10800000" flipV="1">
            <a:off x="2811" y="2934"/>
            <a:ext cx="118" cy="232"/>
          </a:xfrm>
          <a:prstGeom prst="can">
            <a:avLst>
              <a:gd name="adj" fmla="val 50658"/>
            </a:avLst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vert="wordArtVertRtl" wrap="square" lIns="91440" tIns="45720" rIns="91440" bIns="45720" anchor="b" upright="1"/>
          <a:lstStyle/>
          <a:p>
            <a:pPr algn="l" rtl="1">
              <a:lnSpc>
                <a:spcPts val="900"/>
              </a:lnSpc>
              <a:defRPr sz="1000"/>
            </a:pPr>
            <a:r>
              <a:rPr lang="en-US" altLang="zh-TW" sz="1000" b="0" i="0" strike="noStrike">
                <a:solidFill>
                  <a:srgbClr val="000000"/>
                </a:solidFill>
                <a:latin typeface="Arial"/>
                <a:cs typeface="Arial"/>
              </a:rPr>
              <a:t>L5</a:t>
            </a:r>
          </a:p>
          <a:p>
            <a:pPr algn="l" rtl="1">
              <a:lnSpc>
                <a:spcPts val="1100"/>
              </a:lnSpc>
              <a:defRPr sz="1000"/>
            </a:pPr>
            <a:endParaRPr lang="en-US" altLang="zh-TW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92" name="AutoShape 88">
            <a:extLst>
              <a:ext uri="{FF2B5EF4-FFF2-40B4-BE49-F238E27FC236}">
                <a16:creationId xmlns:a16="http://schemas.microsoft.com/office/drawing/2014/main" id="{00000000-0008-0000-1300-000058540000}"/>
              </a:ext>
            </a:extLst>
          </xdr:cNvPr>
          <xdr:cNvSpPr>
            <a:spLocks noChangeArrowheads="1"/>
          </xdr:cNvSpPr>
        </xdr:nvSpPr>
        <xdr:spPr bwMode="auto">
          <a:xfrm rot="5400000" flipH="1" flipV="1">
            <a:off x="3240" y="3437"/>
            <a:ext cx="95" cy="242"/>
          </a:xfrm>
          <a:prstGeom prst="can">
            <a:avLst>
              <a:gd name="adj" fmla="val 62500"/>
            </a:avLst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vert="wordArtVertRtl" wrap="square" lIns="91440" tIns="45720" rIns="91440" bIns="45720" anchor="b" upright="1"/>
          <a:lstStyle/>
          <a:p>
            <a:pPr algn="l" rtl="1">
              <a:defRPr sz="1000"/>
            </a:pPr>
            <a:r>
              <a:rPr lang="en-US" altLang="zh-TW" sz="1000" b="0" i="0" strike="noStrike">
                <a:solidFill>
                  <a:srgbClr val="000000"/>
                </a:solidFill>
                <a:latin typeface="Arial"/>
                <a:cs typeface="Arial"/>
              </a:rPr>
              <a:t>L3</a:t>
            </a:r>
          </a:p>
          <a:p>
            <a:pPr algn="l" rtl="1">
              <a:defRPr sz="1000"/>
            </a:pPr>
            <a:endParaRPr lang="en-US" altLang="zh-TW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75723" name="Line 89">
            <a:extLst>
              <a:ext uri="{FF2B5EF4-FFF2-40B4-BE49-F238E27FC236}">
                <a16:creationId xmlns:a16="http://schemas.microsoft.com/office/drawing/2014/main" id="{00000000-0008-0000-1300-0000CB270100}"/>
              </a:ext>
            </a:extLst>
          </xdr:cNvPr>
          <xdr:cNvSpPr>
            <a:spLocks noChangeShapeType="1"/>
          </xdr:cNvSpPr>
        </xdr:nvSpPr>
        <xdr:spPr bwMode="auto">
          <a:xfrm>
            <a:off x="3417" y="3558"/>
            <a:ext cx="210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594" name="AutoShape 90">
            <a:extLst>
              <a:ext uri="{FF2B5EF4-FFF2-40B4-BE49-F238E27FC236}">
                <a16:creationId xmlns:a16="http://schemas.microsoft.com/office/drawing/2014/main" id="{00000000-0008-0000-1300-00005A540000}"/>
              </a:ext>
            </a:extLst>
          </xdr:cNvPr>
          <xdr:cNvSpPr>
            <a:spLocks noChangeArrowheads="1"/>
          </xdr:cNvSpPr>
        </xdr:nvSpPr>
        <xdr:spPr bwMode="auto">
          <a:xfrm rot="5400000" flipV="1">
            <a:off x="1896" y="3451"/>
            <a:ext cx="101" cy="208"/>
          </a:xfrm>
          <a:prstGeom prst="can">
            <a:avLst>
              <a:gd name="adj" fmla="val 53385"/>
            </a:avLst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vert="wordArtVertRtl" wrap="square" lIns="91440" tIns="45720" rIns="91440" bIns="45720" anchor="b" upright="1"/>
          <a:lstStyle/>
          <a:p>
            <a:pPr algn="l" rtl="1">
              <a:defRPr sz="1000"/>
            </a:pPr>
            <a:r>
              <a:rPr lang="en-US" altLang="zh-TW" sz="1000" b="0" i="0" strike="noStrike">
                <a:solidFill>
                  <a:srgbClr val="000000"/>
                </a:solidFill>
                <a:latin typeface="Arial"/>
                <a:cs typeface="Arial"/>
              </a:rPr>
              <a:t>L1</a:t>
            </a:r>
          </a:p>
          <a:p>
            <a:pPr algn="l" rtl="1">
              <a:defRPr sz="1000"/>
            </a:pPr>
            <a:endParaRPr lang="en-US" altLang="zh-TW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75725" name="Line 91">
            <a:extLst>
              <a:ext uri="{FF2B5EF4-FFF2-40B4-BE49-F238E27FC236}">
                <a16:creationId xmlns:a16="http://schemas.microsoft.com/office/drawing/2014/main" id="{00000000-0008-0000-1300-0000CD270100}"/>
              </a:ext>
            </a:extLst>
          </xdr:cNvPr>
          <xdr:cNvSpPr>
            <a:spLocks noChangeShapeType="1"/>
          </xdr:cNvSpPr>
        </xdr:nvSpPr>
        <xdr:spPr bwMode="auto">
          <a:xfrm>
            <a:off x="1677" y="3558"/>
            <a:ext cx="192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726" name="Rectangle 92">
            <a:extLst>
              <a:ext uri="{FF2B5EF4-FFF2-40B4-BE49-F238E27FC236}">
                <a16:creationId xmlns:a16="http://schemas.microsoft.com/office/drawing/2014/main" id="{00000000-0008-0000-1300-0000CE270100}"/>
              </a:ext>
            </a:extLst>
          </xdr:cNvPr>
          <xdr:cNvSpPr>
            <a:spLocks noChangeArrowheads="1"/>
          </xdr:cNvSpPr>
        </xdr:nvSpPr>
        <xdr:spPr bwMode="auto">
          <a:xfrm>
            <a:off x="4976" y="1196"/>
            <a:ext cx="168" cy="198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5727" name="Rectangle 93">
            <a:extLst>
              <a:ext uri="{FF2B5EF4-FFF2-40B4-BE49-F238E27FC236}">
                <a16:creationId xmlns:a16="http://schemas.microsoft.com/office/drawing/2014/main" id="{00000000-0008-0000-1300-0000CF270100}"/>
              </a:ext>
            </a:extLst>
          </xdr:cNvPr>
          <xdr:cNvSpPr>
            <a:spLocks noChangeArrowheads="1"/>
          </xdr:cNvSpPr>
        </xdr:nvSpPr>
        <xdr:spPr bwMode="auto">
          <a:xfrm>
            <a:off x="4976" y="956"/>
            <a:ext cx="168" cy="198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5728" name="Rectangle 94">
            <a:extLst>
              <a:ext uri="{FF2B5EF4-FFF2-40B4-BE49-F238E27FC236}">
                <a16:creationId xmlns:a16="http://schemas.microsoft.com/office/drawing/2014/main" id="{00000000-0008-0000-1300-0000D0270100}"/>
              </a:ext>
            </a:extLst>
          </xdr:cNvPr>
          <xdr:cNvSpPr>
            <a:spLocks noChangeArrowheads="1"/>
          </xdr:cNvSpPr>
        </xdr:nvSpPr>
        <xdr:spPr bwMode="auto">
          <a:xfrm>
            <a:off x="4976" y="1442"/>
            <a:ext cx="168" cy="198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5729" name="Rectangle 95">
            <a:extLst>
              <a:ext uri="{FF2B5EF4-FFF2-40B4-BE49-F238E27FC236}">
                <a16:creationId xmlns:a16="http://schemas.microsoft.com/office/drawing/2014/main" id="{00000000-0008-0000-1300-0000D1270100}"/>
              </a:ext>
            </a:extLst>
          </xdr:cNvPr>
          <xdr:cNvSpPr>
            <a:spLocks noChangeArrowheads="1"/>
          </xdr:cNvSpPr>
        </xdr:nvSpPr>
        <xdr:spPr bwMode="auto">
          <a:xfrm>
            <a:off x="4976" y="1676"/>
            <a:ext cx="168" cy="198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5730" name="Rectangle 96">
            <a:extLst>
              <a:ext uri="{FF2B5EF4-FFF2-40B4-BE49-F238E27FC236}">
                <a16:creationId xmlns:a16="http://schemas.microsoft.com/office/drawing/2014/main" id="{00000000-0008-0000-1300-0000D2270100}"/>
              </a:ext>
            </a:extLst>
          </xdr:cNvPr>
          <xdr:cNvSpPr>
            <a:spLocks noChangeArrowheads="1"/>
          </xdr:cNvSpPr>
        </xdr:nvSpPr>
        <xdr:spPr bwMode="auto">
          <a:xfrm>
            <a:off x="4976" y="2246"/>
            <a:ext cx="168" cy="198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5731" name="Rectangle 97">
            <a:extLst>
              <a:ext uri="{FF2B5EF4-FFF2-40B4-BE49-F238E27FC236}">
                <a16:creationId xmlns:a16="http://schemas.microsoft.com/office/drawing/2014/main" id="{00000000-0008-0000-1300-0000D3270100}"/>
              </a:ext>
            </a:extLst>
          </xdr:cNvPr>
          <xdr:cNvSpPr>
            <a:spLocks noChangeArrowheads="1"/>
          </xdr:cNvSpPr>
        </xdr:nvSpPr>
        <xdr:spPr bwMode="auto">
          <a:xfrm>
            <a:off x="4976" y="2492"/>
            <a:ext cx="168" cy="198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5732" name="Rectangle 98">
            <a:extLst>
              <a:ext uri="{FF2B5EF4-FFF2-40B4-BE49-F238E27FC236}">
                <a16:creationId xmlns:a16="http://schemas.microsoft.com/office/drawing/2014/main" id="{00000000-0008-0000-1300-0000D4270100}"/>
              </a:ext>
            </a:extLst>
          </xdr:cNvPr>
          <xdr:cNvSpPr>
            <a:spLocks noChangeArrowheads="1"/>
          </xdr:cNvSpPr>
        </xdr:nvSpPr>
        <xdr:spPr bwMode="auto">
          <a:xfrm>
            <a:off x="4976" y="2732"/>
            <a:ext cx="168" cy="198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5733" name="Rectangle 99">
            <a:extLst>
              <a:ext uri="{FF2B5EF4-FFF2-40B4-BE49-F238E27FC236}">
                <a16:creationId xmlns:a16="http://schemas.microsoft.com/office/drawing/2014/main" id="{00000000-0008-0000-1300-0000D5270100}"/>
              </a:ext>
            </a:extLst>
          </xdr:cNvPr>
          <xdr:cNvSpPr>
            <a:spLocks noChangeArrowheads="1"/>
          </xdr:cNvSpPr>
        </xdr:nvSpPr>
        <xdr:spPr bwMode="auto">
          <a:xfrm>
            <a:off x="4976" y="2978"/>
            <a:ext cx="168" cy="198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1604" name="AutoShape 100">
            <a:extLst>
              <a:ext uri="{FF2B5EF4-FFF2-40B4-BE49-F238E27FC236}">
                <a16:creationId xmlns:a16="http://schemas.microsoft.com/office/drawing/2014/main" id="{00000000-0008-0000-1300-000064540000}"/>
              </a:ext>
            </a:extLst>
          </xdr:cNvPr>
          <xdr:cNvSpPr>
            <a:spLocks noChangeArrowheads="1"/>
          </xdr:cNvSpPr>
        </xdr:nvSpPr>
        <xdr:spPr bwMode="auto">
          <a:xfrm rot="10800000" flipV="1">
            <a:off x="3724" y="1399"/>
            <a:ext cx="118" cy="232"/>
          </a:xfrm>
          <a:prstGeom prst="can">
            <a:avLst>
              <a:gd name="adj" fmla="val 50658"/>
            </a:avLst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vert="wordArtVertRtl" wrap="square" lIns="91440" tIns="45720" rIns="91440" bIns="45720" anchor="b" upright="1"/>
          <a:lstStyle/>
          <a:p>
            <a:pPr algn="l" rtl="1">
              <a:lnSpc>
                <a:spcPts val="800"/>
              </a:lnSpc>
              <a:defRPr sz="1000"/>
            </a:pPr>
            <a:r>
              <a:rPr lang="en-US" altLang="zh-TW" sz="1000" b="0" i="0" strike="noStrike">
                <a:solidFill>
                  <a:srgbClr val="000000"/>
                </a:solidFill>
                <a:latin typeface="Arial"/>
                <a:cs typeface="Arial"/>
              </a:rPr>
              <a:t>L7</a:t>
            </a:r>
          </a:p>
          <a:p>
            <a:pPr algn="l" rtl="1">
              <a:lnSpc>
                <a:spcPts val="1000"/>
              </a:lnSpc>
              <a:defRPr sz="1000"/>
            </a:pPr>
            <a:endParaRPr lang="en-US" altLang="zh-TW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605" name="AutoShape 101">
            <a:extLst>
              <a:ext uri="{FF2B5EF4-FFF2-40B4-BE49-F238E27FC236}">
                <a16:creationId xmlns:a16="http://schemas.microsoft.com/office/drawing/2014/main" id="{00000000-0008-0000-1300-000065540000}"/>
              </a:ext>
            </a:extLst>
          </xdr:cNvPr>
          <xdr:cNvSpPr>
            <a:spLocks noChangeArrowheads="1"/>
          </xdr:cNvSpPr>
        </xdr:nvSpPr>
        <xdr:spPr bwMode="auto">
          <a:xfrm rot="10800000" flipV="1">
            <a:off x="3724" y="2482"/>
            <a:ext cx="118" cy="232"/>
          </a:xfrm>
          <a:prstGeom prst="can">
            <a:avLst>
              <a:gd name="adj" fmla="val 50658"/>
            </a:avLst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vert="wordArtVertRtl" wrap="square" lIns="91440" tIns="45720" rIns="91440" bIns="45720" anchor="b" upright="1"/>
          <a:lstStyle/>
          <a:p>
            <a:pPr algn="l" rtl="1">
              <a:lnSpc>
                <a:spcPts val="800"/>
              </a:lnSpc>
              <a:defRPr sz="1000"/>
            </a:pPr>
            <a:r>
              <a:rPr lang="en-US" altLang="zh-TW" sz="1000" b="0" i="0" strike="noStrike">
                <a:solidFill>
                  <a:srgbClr val="000000"/>
                </a:solidFill>
                <a:latin typeface="Arial"/>
                <a:cs typeface="Arial"/>
              </a:rPr>
              <a:t>L7</a:t>
            </a:r>
          </a:p>
          <a:p>
            <a:pPr algn="l" rtl="1">
              <a:lnSpc>
                <a:spcPts val="1000"/>
              </a:lnSpc>
              <a:defRPr sz="1000"/>
            </a:pPr>
            <a:endParaRPr lang="en-US" altLang="zh-TW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75736" name="Line 102">
            <a:extLst>
              <a:ext uri="{FF2B5EF4-FFF2-40B4-BE49-F238E27FC236}">
                <a16:creationId xmlns:a16="http://schemas.microsoft.com/office/drawing/2014/main" id="{00000000-0008-0000-1300-0000D8270100}"/>
              </a:ext>
            </a:extLst>
          </xdr:cNvPr>
          <xdr:cNvSpPr>
            <a:spLocks noChangeShapeType="1"/>
          </xdr:cNvSpPr>
        </xdr:nvSpPr>
        <xdr:spPr bwMode="auto">
          <a:xfrm flipH="1" flipV="1">
            <a:off x="3774" y="2721"/>
            <a:ext cx="0" cy="111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737" name="Line 103">
            <a:extLst>
              <a:ext uri="{FF2B5EF4-FFF2-40B4-BE49-F238E27FC236}">
                <a16:creationId xmlns:a16="http://schemas.microsoft.com/office/drawing/2014/main" id="{00000000-0008-0000-1300-0000D9270100}"/>
              </a:ext>
            </a:extLst>
          </xdr:cNvPr>
          <xdr:cNvSpPr>
            <a:spLocks noChangeShapeType="1"/>
          </xdr:cNvSpPr>
        </xdr:nvSpPr>
        <xdr:spPr bwMode="auto">
          <a:xfrm flipH="1" flipV="1">
            <a:off x="3783" y="1629"/>
            <a:ext cx="3" cy="14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738" name="Line 104">
            <a:extLst>
              <a:ext uri="{FF2B5EF4-FFF2-40B4-BE49-F238E27FC236}">
                <a16:creationId xmlns:a16="http://schemas.microsoft.com/office/drawing/2014/main" id="{00000000-0008-0000-1300-0000DA270100}"/>
              </a:ext>
            </a:extLst>
          </xdr:cNvPr>
          <xdr:cNvSpPr>
            <a:spLocks noChangeShapeType="1"/>
          </xdr:cNvSpPr>
        </xdr:nvSpPr>
        <xdr:spPr bwMode="auto">
          <a:xfrm flipH="1" flipV="1">
            <a:off x="3780" y="1296"/>
            <a:ext cx="6" cy="138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609" name="Text Box 105">
            <a:extLst>
              <a:ext uri="{FF2B5EF4-FFF2-40B4-BE49-F238E27FC236}">
                <a16:creationId xmlns:a16="http://schemas.microsoft.com/office/drawing/2014/main" id="{00000000-0008-0000-1300-0000695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324" y="3320"/>
            <a:ext cx="451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1100"/>
              </a:lnSpc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BO_MS</a:t>
            </a:r>
          </a:p>
          <a:p>
            <a:pPr algn="l" rtl="1">
              <a:lnSpc>
                <a:spcPts val="1100"/>
              </a:lnSpc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610" name="Text Box 106">
            <a:extLst>
              <a:ext uri="{FF2B5EF4-FFF2-40B4-BE49-F238E27FC236}">
                <a16:creationId xmlns:a16="http://schemas.microsoft.com/office/drawing/2014/main" id="{00000000-0008-0000-1300-00006A5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752" y="3320"/>
            <a:ext cx="428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1100"/>
              </a:lnSpc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BO_SL</a:t>
            </a:r>
          </a:p>
          <a:p>
            <a:pPr algn="l" rtl="1">
              <a:lnSpc>
                <a:spcPts val="1100"/>
              </a:lnSpc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611" name="Text Box 107">
            <a:extLst>
              <a:ext uri="{FF2B5EF4-FFF2-40B4-BE49-F238E27FC236}">
                <a16:creationId xmlns:a16="http://schemas.microsoft.com/office/drawing/2014/main" id="{00000000-0008-0000-1300-00006B5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332" y="3320"/>
            <a:ext cx="231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1100"/>
              </a:lnSpc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SL</a:t>
            </a:r>
          </a:p>
          <a:p>
            <a:pPr algn="l" rtl="1">
              <a:lnSpc>
                <a:spcPts val="1100"/>
              </a:lnSpc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612" name="Text Box 108">
            <a:extLst>
              <a:ext uri="{FF2B5EF4-FFF2-40B4-BE49-F238E27FC236}">
                <a16:creationId xmlns:a16="http://schemas.microsoft.com/office/drawing/2014/main" id="{00000000-0008-0000-1300-00006C5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149" y="3320"/>
            <a:ext cx="231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1100"/>
              </a:lnSpc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SL</a:t>
            </a:r>
          </a:p>
          <a:p>
            <a:pPr algn="l" rtl="1">
              <a:lnSpc>
                <a:spcPts val="1100"/>
              </a:lnSpc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613" name="Text Box 109">
            <a:extLst>
              <a:ext uri="{FF2B5EF4-FFF2-40B4-BE49-F238E27FC236}">
                <a16:creationId xmlns:a16="http://schemas.microsoft.com/office/drawing/2014/main" id="{00000000-0008-0000-1300-00006D5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577" y="3320"/>
            <a:ext cx="265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1100"/>
              </a:lnSpc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MS</a:t>
            </a:r>
          </a:p>
          <a:p>
            <a:pPr algn="l" rtl="1">
              <a:lnSpc>
                <a:spcPts val="1100"/>
              </a:lnSpc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614" name="Text Box 110">
            <a:extLst>
              <a:ext uri="{FF2B5EF4-FFF2-40B4-BE49-F238E27FC236}">
                <a16:creationId xmlns:a16="http://schemas.microsoft.com/office/drawing/2014/main" id="{00000000-0008-0000-1300-00006E5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386" y="1584"/>
            <a:ext cx="231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1000"/>
              </a:lnSpc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SL</a:t>
            </a:r>
          </a:p>
          <a:p>
            <a:pPr algn="l" rtl="1">
              <a:lnSpc>
                <a:spcPts val="1200"/>
              </a:lnSpc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615" name="Text Box 111">
            <a:extLst>
              <a:ext uri="{FF2B5EF4-FFF2-40B4-BE49-F238E27FC236}">
                <a16:creationId xmlns:a16="http://schemas.microsoft.com/office/drawing/2014/main" id="{00000000-0008-0000-1300-00006F5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437" y="2160"/>
            <a:ext cx="231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1100"/>
              </a:lnSpc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SL</a:t>
            </a:r>
          </a:p>
          <a:p>
            <a:pPr algn="l" rtl="1">
              <a:lnSpc>
                <a:spcPts val="1100"/>
              </a:lnSpc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616" name="Text Box 112">
            <a:extLst>
              <a:ext uri="{FF2B5EF4-FFF2-40B4-BE49-F238E27FC236}">
                <a16:creationId xmlns:a16="http://schemas.microsoft.com/office/drawing/2014/main" id="{00000000-0008-0000-1300-0000705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527" y="1417"/>
            <a:ext cx="237" cy="17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1200"/>
              </a:lnSpc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SL</a:t>
            </a:r>
          </a:p>
          <a:p>
            <a:pPr algn="l" rtl="1">
              <a:lnSpc>
                <a:spcPts val="1000"/>
              </a:lnSpc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617" name="Text Box 113">
            <a:extLst>
              <a:ext uri="{FF2B5EF4-FFF2-40B4-BE49-F238E27FC236}">
                <a16:creationId xmlns:a16="http://schemas.microsoft.com/office/drawing/2014/main" id="{00000000-0008-0000-1300-0000715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527" y="2523"/>
            <a:ext cx="237" cy="17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1200"/>
              </a:lnSpc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SL</a:t>
            </a:r>
          </a:p>
          <a:p>
            <a:pPr algn="l" rtl="1">
              <a:lnSpc>
                <a:spcPts val="1000"/>
              </a:lnSpc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618" name="Text Box 114">
            <a:extLst>
              <a:ext uri="{FF2B5EF4-FFF2-40B4-BE49-F238E27FC236}">
                <a16:creationId xmlns:a16="http://schemas.microsoft.com/office/drawing/2014/main" id="{00000000-0008-0000-1300-0000725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575" y="2155"/>
            <a:ext cx="265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1100"/>
              </a:lnSpc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MS</a:t>
            </a:r>
          </a:p>
          <a:p>
            <a:pPr algn="l" rtl="1">
              <a:lnSpc>
                <a:spcPts val="1100"/>
              </a:lnSpc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619" name="Text Box 115">
            <a:extLst>
              <a:ext uri="{FF2B5EF4-FFF2-40B4-BE49-F238E27FC236}">
                <a16:creationId xmlns:a16="http://schemas.microsoft.com/office/drawing/2014/main" id="{00000000-0008-0000-1300-0000735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580" y="864"/>
            <a:ext cx="265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1000"/>
              </a:lnSpc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MS</a:t>
            </a:r>
          </a:p>
          <a:p>
            <a:pPr algn="l" rtl="1">
              <a:lnSpc>
                <a:spcPts val="1200"/>
              </a:lnSpc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620" name="Text Box 116">
            <a:extLst>
              <a:ext uri="{FF2B5EF4-FFF2-40B4-BE49-F238E27FC236}">
                <a16:creationId xmlns:a16="http://schemas.microsoft.com/office/drawing/2014/main" id="{00000000-0008-0000-1300-0000745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620" y="2957"/>
            <a:ext cx="231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1000"/>
              </a:lnSpc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SL</a:t>
            </a:r>
          </a:p>
          <a:p>
            <a:pPr algn="l" rtl="1">
              <a:lnSpc>
                <a:spcPts val="1200"/>
              </a:lnSpc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621" name="Text Box 117">
            <a:extLst>
              <a:ext uri="{FF2B5EF4-FFF2-40B4-BE49-F238E27FC236}">
                <a16:creationId xmlns:a16="http://schemas.microsoft.com/office/drawing/2014/main" id="{00000000-0008-0000-1300-0000755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65" y="3606"/>
            <a:ext cx="242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1200"/>
              </a:lnSpc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Times New Roman"/>
                <a:cs typeface="Times New Roman"/>
              </a:rPr>
              <a:t>5/5</a:t>
            </a:r>
          </a:p>
          <a:p>
            <a:pPr algn="l" rtl="1">
              <a:lnSpc>
                <a:spcPts val="1200"/>
              </a:lnSpc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sp macro="" textlink="">
        <xdr:nvSpPr>
          <xdr:cNvPr id="21622" name="Text Box 118">
            <a:extLst>
              <a:ext uri="{FF2B5EF4-FFF2-40B4-BE49-F238E27FC236}">
                <a16:creationId xmlns:a16="http://schemas.microsoft.com/office/drawing/2014/main" id="{00000000-0008-0000-1300-0000765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803" y="3606"/>
            <a:ext cx="237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1200"/>
              </a:lnSpc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Times New Roman"/>
                <a:cs typeface="Times New Roman"/>
              </a:rPr>
              <a:t>4/4</a:t>
            </a:r>
          </a:p>
          <a:p>
            <a:pPr algn="l" rtl="1">
              <a:lnSpc>
                <a:spcPts val="1200"/>
              </a:lnSpc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sp macro="" textlink="">
        <xdr:nvSpPr>
          <xdr:cNvPr id="21623" name="Text Box 119">
            <a:extLst>
              <a:ext uri="{FF2B5EF4-FFF2-40B4-BE49-F238E27FC236}">
                <a16:creationId xmlns:a16="http://schemas.microsoft.com/office/drawing/2014/main" id="{00000000-0008-0000-1300-0000775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132" y="3588"/>
            <a:ext cx="293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1200"/>
              </a:lnSpc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Times New Roman"/>
                <a:cs typeface="Times New Roman"/>
              </a:rPr>
              <a:t>4/6</a:t>
            </a:r>
          </a:p>
          <a:p>
            <a:pPr algn="l" rtl="1">
              <a:lnSpc>
                <a:spcPts val="1200"/>
              </a:lnSpc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sp macro="" textlink="">
        <xdr:nvSpPr>
          <xdr:cNvPr id="21624" name="Text Box 120">
            <a:extLst>
              <a:ext uri="{FF2B5EF4-FFF2-40B4-BE49-F238E27FC236}">
                <a16:creationId xmlns:a16="http://schemas.microsoft.com/office/drawing/2014/main" id="{00000000-0008-0000-1300-0000785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600" y="3588"/>
            <a:ext cx="287" cy="16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1200"/>
              </a:lnSpc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Times New Roman"/>
                <a:cs typeface="Times New Roman"/>
              </a:rPr>
              <a:t>5/10</a:t>
            </a:r>
          </a:p>
          <a:p>
            <a:pPr algn="l" rtl="1">
              <a:lnSpc>
                <a:spcPts val="1200"/>
              </a:lnSpc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sp macro="" textlink="">
        <xdr:nvSpPr>
          <xdr:cNvPr id="21625" name="Text Box 121">
            <a:extLst>
              <a:ext uri="{FF2B5EF4-FFF2-40B4-BE49-F238E27FC236}">
                <a16:creationId xmlns:a16="http://schemas.microsoft.com/office/drawing/2014/main" id="{00000000-0008-0000-1300-0000795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907" y="2981"/>
            <a:ext cx="287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1200"/>
              </a:lnSpc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Times New Roman"/>
                <a:cs typeface="Times New Roman"/>
              </a:rPr>
              <a:t>4/6</a:t>
            </a:r>
          </a:p>
          <a:p>
            <a:pPr algn="l" rtl="1">
              <a:lnSpc>
                <a:spcPts val="1200"/>
              </a:lnSpc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sp macro="" textlink="">
        <xdr:nvSpPr>
          <xdr:cNvPr id="21626" name="Text Box 122">
            <a:extLst>
              <a:ext uri="{FF2B5EF4-FFF2-40B4-BE49-F238E27FC236}">
                <a16:creationId xmlns:a16="http://schemas.microsoft.com/office/drawing/2014/main" id="{00000000-0008-0000-1300-00007A5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437" y="2369"/>
            <a:ext cx="287" cy="16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1200"/>
              </a:lnSpc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Times New Roman"/>
                <a:cs typeface="Times New Roman"/>
              </a:rPr>
              <a:t>4/6</a:t>
            </a:r>
          </a:p>
          <a:p>
            <a:pPr algn="l" rtl="1">
              <a:lnSpc>
                <a:spcPts val="1100"/>
              </a:lnSpc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sp macro="" textlink="">
        <xdr:nvSpPr>
          <xdr:cNvPr id="21627" name="Text Box 123">
            <a:extLst>
              <a:ext uri="{FF2B5EF4-FFF2-40B4-BE49-F238E27FC236}">
                <a16:creationId xmlns:a16="http://schemas.microsoft.com/office/drawing/2014/main" id="{00000000-0008-0000-1300-00007B5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408" y="1798"/>
            <a:ext cx="282" cy="16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1200"/>
              </a:lnSpc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Times New Roman"/>
                <a:cs typeface="Times New Roman"/>
              </a:rPr>
              <a:t>4/6</a:t>
            </a:r>
          </a:p>
          <a:p>
            <a:pPr algn="l" rtl="1">
              <a:lnSpc>
                <a:spcPts val="1100"/>
              </a:lnSpc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sp macro="" textlink="">
        <xdr:nvSpPr>
          <xdr:cNvPr id="21628" name="Text Box 124">
            <a:extLst>
              <a:ext uri="{FF2B5EF4-FFF2-40B4-BE49-F238E27FC236}">
                <a16:creationId xmlns:a16="http://schemas.microsoft.com/office/drawing/2014/main" id="{00000000-0008-0000-1300-00007C540000}"/>
              </a:ext>
            </a:extLst>
          </xdr:cNvPr>
          <xdr:cNvSpPr txBox="1">
            <a:spLocks noChangeArrowheads="1"/>
          </xdr:cNvSpPr>
        </xdr:nvSpPr>
        <xdr:spPr bwMode="auto">
          <a:xfrm rot="5400000">
            <a:off x="3730" y="2561"/>
            <a:ext cx="291" cy="16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Times New Roman"/>
                <a:cs typeface="Times New Roman"/>
              </a:rPr>
              <a:t>4/ 6</a:t>
            </a:r>
          </a:p>
          <a:p>
            <a:pPr algn="l" rtl="1"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sp macro="" textlink="">
        <xdr:nvSpPr>
          <xdr:cNvPr id="21629" name="Text Box 125">
            <a:extLst>
              <a:ext uri="{FF2B5EF4-FFF2-40B4-BE49-F238E27FC236}">
                <a16:creationId xmlns:a16="http://schemas.microsoft.com/office/drawing/2014/main" id="{00000000-0008-0000-1300-00007D5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569" y="2380"/>
            <a:ext cx="287" cy="17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1200"/>
              </a:lnSpc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Times New Roman"/>
                <a:cs typeface="Times New Roman"/>
              </a:rPr>
              <a:t>5/10</a:t>
            </a:r>
          </a:p>
          <a:p>
            <a:pPr algn="l" rtl="1">
              <a:lnSpc>
                <a:spcPts val="1200"/>
              </a:lnSpc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sp macro="" textlink="">
        <xdr:nvSpPr>
          <xdr:cNvPr id="21630" name="Text Box 126">
            <a:extLst>
              <a:ext uri="{FF2B5EF4-FFF2-40B4-BE49-F238E27FC236}">
                <a16:creationId xmlns:a16="http://schemas.microsoft.com/office/drawing/2014/main" id="{00000000-0008-0000-1300-00007E5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591" y="1078"/>
            <a:ext cx="287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1100"/>
              </a:lnSpc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Times New Roman"/>
                <a:cs typeface="Times New Roman"/>
              </a:rPr>
              <a:t>5/10</a:t>
            </a:r>
          </a:p>
          <a:p>
            <a:pPr algn="l" rtl="1">
              <a:lnSpc>
                <a:spcPts val="1100"/>
              </a:lnSpc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sp macro="" textlink="">
        <xdr:nvSpPr>
          <xdr:cNvPr id="21631" name="Text Box 127">
            <a:extLst>
              <a:ext uri="{FF2B5EF4-FFF2-40B4-BE49-F238E27FC236}">
                <a16:creationId xmlns:a16="http://schemas.microsoft.com/office/drawing/2014/main" id="{00000000-0008-0000-1300-00007F540000}"/>
              </a:ext>
            </a:extLst>
          </xdr:cNvPr>
          <xdr:cNvSpPr txBox="1">
            <a:spLocks noChangeArrowheads="1"/>
          </xdr:cNvSpPr>
        </xdr:nvSpPr>
        <xdr:spPr bwMode="auto">
          <a:xfrm rot="5400000">
            <a:off x="3758" y="1460"/>
            <a:ext cx="291" cy="16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Times New Roman"/>
                <a:cs typeface="Times New Roman"/>
              </a:rPr>
              <a:t>4/6</a:t>
            </a:r>
          </a:p>
          <a:p>
            <a:pPr algn="l" rtl="1"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sp macro="" textlink="">
        <xdr:nvSpPr>
          <xdr:cNvPr id="75762" name="Line 128">
            <a:extLst>
              <a:ext uri="{FF2B5EF4-FFF2-40B4-BE49-F238E27FC236}">
                <a16:creationId xmlns:a16="http://schemas.microsoft.com/office/drawing/2014/main" id="{00000000-0008-0000-1300-0000F2270100}"/>
              </a:ext>
            </a:extLst>
          </xdr:cNvPr>
          <xdr:cNvSpPr>
            <a:spLocks noChangeShapeType="1"/>
          </xdr:cNvSpPr>
        </xdr:nvSpPr>
        <xdr:spPr bwMode="auto">
          <a:xfrm flipV="1">
            <a:off x="2857" y="2073"/>
            <a:ext cx="0" cy="96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763" name="Line 129">
            <a:extLst>
              <a:ext uri="{FF2B5EF4-FFF2-40B4-BE49-F238E27FC236}">
                <a16:creationId xmlns:a16="http://schemas.microsoft.com/office/drawing/2014/main" id="{00000000-0008-0000-1300-0000F3270100}"/>
              </a:ext>
            </a:extLst>
          </xdr:cNvPr>
          <xdr:cNvSpPr>
            <a:spLocks noChangeShapeType="1"/>
          </xdr:cNvSpPr>
        </xdr:nvSpPr>
        <xdr:spPr bwMode="auto">
          <a:xfrm>
            <a:off x="2861" y="2069"/>
            <a:ext cx="484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764" name="Line 130">
            <a:extLst>
              <a:ext uri="{FF2B5EF4-FFF2-40B4-BE49-F238E27FC236}">
                <a16:creationId xmlns:a16="http://schemas.microsoft.com/office/drawing/2014/main" id="{00000000-0008-0000-1300-0000F4270100}"/>
              </a:ext>
            </a:extLst>
          </xdr:cNvPr>
          <xdr:cNvSpPr>
            <a:spLocks noChangeShapeType="1"/>
          </xdr:cNvSpPr>
        </xdr:nvSpPr>
        <xdr:spPr bwMode="auto">
          <a:xfrm>
            <a:off x="2880" y="3168"/>
            <a:ext cx="0" cy="38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635" name="Text Box 131">
            <a:extLst>
              <a:ext uri="{FF2B5EF4-FFF2-40B4-BE49-F238E27FC236}">
                <a16:creationId xmlns:a16="http://schemas.microsoft.com/office/drawing/2014/main" id="{00000000-0008-0000-1300-0000835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214" y="3612"/>
            <a:ext cx="580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1100"/>
              </a:lnSpc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Times New Roman"/>
                <a:cs typeface="Times New Roman"/>
              </a:rPr>
              <a:t>4/6 , 5/10</a:t>
            </a:r>
          </a:p>
          <a:p>
            <a:pPr algn="l" rtl="1">
              <a:lnSpc>
                <a:spcPts val="1100"/>
              </a:lnSpc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56</xdr:row>
          <xdr:rowOff>0</xdr:rowOff>
        </xdr:from>
        <xdr:to>
          <xdr:col>7</xdr:col>
          <xdr:colOff>1743075</xdr:colOff>
          <xdr:row>64</xdr:row>
          <xdr:rowOff>66675</xdr:rowOff>
        </xdr:to>
        <xdr:sp macro="" textlink="">
          <xdr:nvSpPr>
            <xdr:cNvPr id="21636" name="Object 132" hidden="1">
              <a:extLst>
                <a:ext uri="{63B3BB69-23CF-44E3-9099-C40C66FF867C}">
                  <a14:compatExt spid="_x0000_s21636"/>
                </a:ext>
                <a:ext uri="{FF2B5EF4-FFF2-40B4-BE49-F238E27FC236}">
                  <a16:creationId xmlns:a16="http://schemas.microsoft.com/office/drawing/2014/main" id="{00000000-0008-0000-1300-000084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161925</xdr:colOff>
          <xdr:row>55</xdr:row>
          <xdr:rowOff>333375</xdr:rowOff>
        </xdr:from>
        <xdr:to>
          <xdr:col>7</xdr:col>
          <xdr:colOff>742950</xdr:colOff>
          <xdr:row>62</xdr:row>
          <xdr:rowOff>28575</xdr:rowOff>
        </xdr:to>
        <xdr:sp macro="" textlink="">
          <xdr:nvSpPr>
            <xdr:cNvPr id="26753" name="Object 129" hidden="1">
              <a:extLst>
                <a:ext uri="{63B3BB69-23CF-44E3-9099-C40C66FF867C}">
                  <a14:compatExt spid="_x0000_s26753"/>
                </a:ext>
                <a:ext uri="{FF2B5EF4-FFF2-40B4-BE49-F238E27FC236}">
                  <a16:creationId xmlns:a16="http://schemas.microsoft.com/office/drawing/2014/main" id="{00000000-0008-0000-1400-000081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1171575</xdr:colOff>
          <xdr:row>64</xdr:row>
          <xdr:rowOff>66675</xdr:rowOff>
        </xdr:from>
        <xdr:to>
          <xdr:col>12</xdr:col>
          <xdr:colOff>981075</xdr:colOff>
          <xdr:row>89</xdr:row>
          <xdr:rowOff>76200</xdr:rowOff>
        </xdr:to>
        <xdr:sp macro="" textlink="">
          <xdr:nvSpPr>
            <xdr:cNvPr id="26754" name="Object 130" hidden="1">
              <a:extLst>
                <a:ext uri="{63B3BB69-23CF-44E3-9099-C40C66FF867C}">
                  <a14:compatExt spid="_x0000_s26754"/>
                </a:ext>
                <a:ext uri="{FF2B5EF4-FFF2-40B4-BE49-F238E27FC236}">
                  <a16:creationId xmlns:a16="http://schemas.microsoft.com/office/drawing/2014/main" id="{00000000-0008-0000-1400-000082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238125</xdr:colOff>
          <xdr:row>28</xdr:row>
          <xdr:rowOff>295275</xdr:rowOff>
        </xdr:from>
        <xdr:to>
          <xdr:col>10</xdr:col>
          <xdr:colOff>581025</xdr:colOff>
          <xdr:row>35</xdr:row>
          <xdr:rowOff>104775</xdr:rowOff>
        </xdr:to>
        <xdr:sp macro="" textlink="">
          <xdr:nvSpPr>
            <xdr:cNvPr id="22638" name="Object 110" hidden="1">
              <a:extLst>
                <a:ext uri="{63B3BB69-23CF-44E3-9099-C40C66FF867C}">
                  <a14:compatExt spid="_x0000_s22638"/>
                </a:ext>
                <a:ext uri="{FF2B5EF4-FFF2-40B4-BE49-F238E27FC236}">
                  <a16:creationId xmlns:a16="http://schemas.microsoft.com/office/drawing/2014/main" id="{00000000-0008-0000-1500-00006E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219075</xdr:colOff>
          <xdr:row>37</xdr:row>
          <xdr:rowOff>9525</xdr:rowOff>
        </xdr:from>
        <xdr:to>
          <xdr:col>12</xdr:col>
          <xdr:colOff>876300</xdr:colOff>
          <xdr:row>56</xdr:row>
          <xdr:rowOff>57150</xdr:rowOff>
        </xdr:to>
        <xdr:sp macro="" textlink="">
          <xdr:nvSpPr>
            <xdr:cNvPr id="22639" name="Object 111" hidden="1">
              <a:extLst>
                <a:ext uri="{63B3BB69-23CF-44E3-9099-C40C66FF867C}">
                  <a14:compatExt spid="_x0000_s22639"/>
                </a:ext>
                <a:ext uri="{FF2B5EF4-FFF2-40B4-BE49-F238E27FC236}">
                  <a16:creationId xmlns:a16="http://schemas.microsoft.com/office/drawing/2014/main" id="{00000000-0008-0000-1500-00006F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45</xdr:row>
          <xdr:rowOff>47625</xdr:rowOff>
        </xdr:from>
        <xdr:to>
          <xdr:col>15</xdr:col>
          <xdr:colOff>923925</xdr:colOff>
          <xdr:row>61</xdr:row>
          <xdr:rowOff>152400</xdr:rowOff>
        </xdr:to>
        <xdr:sp macro="" textlink="">
          <xdr:nvSpPr>
            <xdr:cNvPr id="36865" name="Object 1" hidden="1">
              <a:extLst>
                <a:ext uri="{63B3BB69-23CF-44E3-9099-C40C66FF867C}">
                  <a14:compatExt spid="_x0000_s36865"/>
                </a:ext>
                <a:ext uri="{FF2B5EF4-FFF2-40B4-BE49-F238E27FC236}">
                  <a16:creationId xmlns:a16="http://schemas.microsoft.com/office/drawing/2014/main" id="{00000000-0008-0000-1600-000001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101</xdr:row>
          <xdr:rowOff>9525</xdr:rowOff>
        </xdr:from>
        <xdr:to>
          <xdr:col>15</xdr:col>
          <xdr:colOff>295275</xdr:colOff>
          <xdr:row>114</xdr:row>
          <xdr:rowOff>142875</xdr:rowOff>
        </xdr:to>
        <xdr:sp macro="" textlink="">
          <xdr:nvSpPr>
            <xdr:cNvPr id="37889" name="Object 1" hidden="1">
              <a:extLst>
                <a:ext uri="{63B3BB69-23CF-44E3-9099-C40C66FF867C}">
                  <a14:compatExt spid="_x0000_s37889"/>
                </a:ext>
                <a:ext uri="{FF2B5EF4-FFF2-40B4-BE49-F238E27FC236}">
                  <a16:creationId xmlns:a16="http://schemas.microsoft.com/office/drawing/2014/main" id="{00000000-0008-0000-1700-000001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nts%20and%20Settings\bpmoran\FP2_master_ts_9-2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krangas-mobl\C$\Documents%20and%20Settings\bpmoran\FP2_master_ts_9-2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nts%20and%20Settings\sbaner4\Local%20Settings\Temp\TraceLengthCal0p7_csff_16-Sep_2R-1R_CRB-SV-modified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&#26696;&#23376;\ESM-RAP\Carrier%20board%20Layout%20Guide_R3.0_ESM-EHLC_V1.0_2022_07_08.xlsx" TargetMode="External"/><Relationship Id="rId1" Type="http://schemas.openxmlformats.org/officeDocument/2006/relationships/externalLinkPath" Target="/&#26696;&#23376;/ESM-RAP/Carrier%20board%20Layout%20Guide_R3.0_ESM-EHLC_V1.0_2022_07_0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P2_master_ts_9-23"/>
      <sheetName val="#REF"/>
    </sheetNames>
    <sheetDataSet>
      <sheetData sheetId="0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P2_master_ts_9-23"/>
      <sheetName val="#REF"/>
    </sheetNames>
    <sheetDataSet>
      <sheetData sheetId="0"/>
      <sheetData sheetId="1" refreshError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Rev History"/>
      <sheetName val="DDR2Instructions"/>
      <sheetName val="DDR2 Clocks - 2L"/>
      <sheetName val="DDR2 Clocks - 4L"/>
      <sheetName val="DDR2 Command - 4L"/>
      <sheetName val="DDR2 Command - 8LTB"/>
      <sheetName val="DDR2 Command - 8LTB RS"/>
      <sheetName val="DDR2 Control - 4L RS"/>
      <sheetName val="DDR2 Command - 8LSS"/>
      <sheetName val="CNTRL_2R-1R"/>
      <sheetName val="DDR2 Control - 4L"/>
      <sheetName val="DDR2 Control - 8LTB"/>
      <sheetName val="DDR2 Control - 8LSS"/>
      <sheetName val="DDR2 Strobes - 1x16"/>
      <sheetName val="DDR2 Strobes - 2x16"/>
      <sheetName val="DDR2 Strobes - 1x8"/>
      <sheetName val="DDR2 Data - 1x16"/>
      <sheetName val="DDR2 Data - 2x16"/>
      <sheetName val="DDR2 Data - 1x8"/>
      <sheetName val="DDR2Specs"/>
    </sheetNames>
    <sheetDataSet>
      <sheetData sheetId="0"/>
      <sheetData sheetId="1"/>
      <sheetData sheetId="2">
        <row r="42">
          <cell r="D42" t="str">
            <v>mil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vision History"/>
      <sheetName val="Impedance"/>
      <sheetName val="DDI "/>
      <sheetName val="eDP"/>
      <sheetName val="LVDS"/>
      <sheetName val="VGA"/>
      <sheetName val="SATA"/>
      <sheetName val="PCIe"/>
      <sheetName val="USB"/>
      <sheetName val="LAN"/>
      <sheetName val="HD_Audio"/>
      <sheetName val="LPC or eSPI"/>
      <sheetName val="SPI"/>
      <sheetName val="SMB"/>
      <sheetName val="I2C"/>
      <sheetName val="SD Card"/>
      <sheetName val="DDR2 Clocks - 2L"/>
      <sheetName val="DDR2 Clocks - 4L"/>
      <sheetName val="DDR2 Command - 4L"/>
      <sheetName val="DDR2 Command - 8LTB"/>
      <sheetName val="DDR2 Command - 8LSS"/>
      <sheetName val="DDR2 Control - 4L"/>
      <sheetName val="DDR2 Strobes - 2x16_1R SODIMM"/>
      <sheetName val="DDR2 Data - 2x16_1R SODIMM"/>
      <sheetName val="DDR2 Command - 8LTB RS"/>
      <sheetName val="DDR2 Control - 4L RS"/>
      <sheetName val="DDR2 Control - 8LTB"/>
      <sheetName val="DDR2 Control - 8LSS"/>
      <sheetName val="DDR2 Strobes - 1x16"/>
      <sheetName val="DDR2 Strobes - 2x16"/>
      <sheetName val="DDR2 Strobes - 1x8"/>
      <sheetName val="DDR2 Data - 1x16"/>
      <sheetName val="DDR2 Data - 2x16"/>
      <sheetName val="DDR2 Data - 1x8"/>
      <sheetName val="DDR2Spec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0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image" Target="../media/image4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1.bin"/><Relationship Id="rId6" Type="http://schemas.openxmlformats.org/officeDocument/2006/relationships/oleObject" Target="../embeddings/oleObject4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3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vmlDrawing" Target="../drawings/vmlDrawing3.vml"/><Relationship Id="rId7" Type="http://schemas.openxmlformats.org/officeDocument/2006/relationships/image" Target="../media/image6.emf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2.bin"/><Relationship Id="rId6" Type="http://schemas.openxmlformats.org/officeDocument/2006/relationships/oleObject" Target="../embeddings/oleObject6.bin"/><Relationship Id="rId5" Type="http://schemas.openxmlformats.org/officeDocument/2006/relationships/image" Target="../media/image5.emf"/><Relationship Id="rId4" Type="http://schemas.openxmlformats.org/officeDocument/2006/relationships/oleObject" Target="../embeddings/oleObject5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3.bin"/><Relationship Id="rId6" Type="http://schemas.openxmlformats.org/officeDocument/2006/relationships/comments" Target="../comments2.xml"/><Relationship Id="rId5" Type="http://schemas.openxmlformats.org/officeDocument/2006/relationships/image" Target="../media/image7.emf"/><Relationship Id="rId4" Type="http://schemas.openxmlformats.org/officeDocument/2006/relationships/oleObject" Target="../embeddings/oleObject7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comments" Target="../comments3.xml"/><Relationship Id="rId3" Type="http://schemas.openxmlformats.org/officeDocument/2006/relationships/vmlDrawing" Target="../drawings/vmlDrawing5.vml"/><Relationship Id="rId7" Type="http://schemas.openxmlformats.org/officeDocument/2006/relationships/image" Target="../media/image9.emf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4.bin"/><Relationship Id="rId6" Type="http://schemas.openxmlformats.org/officeDocument/2006/relationships/oleObject" Target="../embeddings/oleObject9.bin"/><Relationship Id="rId5" Type="http://schemas.openxmlformats.org/officeDocument/2006/relationships/image" Target="../media/image8.emf"/><Relationship Id="rId4" Type="http://schemas.openxmlformats.org/officeDocument/2006/relationships/oleObject" Target="../embeddings/oleObject8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7" Type="http://schemas.openxmlformats.org/officeDocument/2006/relationships/image" Target="../media/image11.emf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5.bin"/><Relationship Id="rId6" Type="http://schemas.openxmlformats.org/officeDocument/2006/relationships/oleObject" Target="../embeddings/oleObject11.bin"/><Relationship Id="rId5" Type="http://schemas.openxmlformats.org/officeDocument/2006/relationships/image" Target="../media/image10.emf"/><Relationship Id="rId4" Type="http://schemas.openxmlformats.org/officeDocument/2006/relationships/oleObject" Target="../embeddings/oleObject10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6.bin"/><Relationship Id="rId5" Type="http://schemas.openxmlformats.org/officeDocument/2006/relationships/image" Target="../media/image12.emf"/><Relationship Id="rId4" Type="http://schemas.openxmlformats.org/officeDocument/2006/relationships/oleObject" Target="../embeddings/oleObject12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7.bin"/><Relationship Id="rId5" Type="http://schemas.openxmlformats.org/officeDocument/2006/relationships/image" Target="../media/image13.emf"/><Relationship Id="rId4" Type="http://schemas.openxmlformats.org/officeDocument/2006/relationships/oleObject" Target="../embeddings/oleObject13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10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7" Type="http://schemas.openxmlformats.org/officeDocument/2006/relationships/image" Target="../media/image10.emf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9.bin"/><Relationship Id="rId6" Type="http://schemas.openxmlformats.org/officeDocument/2006/relationships/oleObject" Target="../embeddings/oleObject15.bin"/><Relationship Id="rId5" Type="http://schemas.openxmlformats.org/officeDocument/2006/relationships/image" Target="../media/image17.emf"/><Relationship Id="rId4" Type="http://schemas.openxmlformats.org/officeDocument/2006/relationships/oleObject" Target="../embeddings/oleObject14.bin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comments" Target="../comments5.xml"/><Relationship Id="rId3" Type="http://schemas.openxmlformats.org/officeDocument/2006/relationships/vmlDrawing" Target="../drawings/vmlDrawing11.vml"/><Relationship Id="rId7" Type="http://schemas.openxmlformats.org/officeDocument/2006/relationships/image" Target="../media/image18.emf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0.bin"/><Relationship Id="rId6" Type="http://schemas.openxmlformats.org/officeDocument/2006/relationships/oleObject" Target="../embeddings/oleObject17.bin"/><Relationship Id="rId5" Type="http://schemas.openxmlformats.org/officeDocument/2006/relationships/image" Target="../media/image10.emf"/><Relationship Id="rId4" Type="http://schemas.openxmlformats.org/officeDocument/2006/relationships/oleObject" Target="../embeddings/oleObject16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1.bin"/><Relationship Id="rId5" Type="http://schemas.openxmlformats.org/officeDocument/2006/relationships/image" Target="../media/image19.emf"/><Relationship Id="rId4" Type="http://schemas.openxmlformats.org/officeDocument/2006/relationships/oleObject" Target="../embeddings/oleObject18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2.bin"/><Relationship Id="rId5" Type="http://schemas.openxmlformats.org/officeDocument/2006/relationships/image" Target="../media/image20.emf"/><Relationship Id="rId4" Type="http://schemas.openxmlformats.org/officeDocument/2006/relationships/oleObject" Target="../embeddings/oleObject19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3.bin"/><Relationship Id="rId5" Type="http://schemas.openxmlformats.org/officeDocument/2006/relationships/image" Target="../media/image21.emf"/><Relationship Id="rId4" Type="http://schemas.openxmlformats.org/officeDocument/2006/relationships/oleObject" Target="../embeddings/oleObject20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4.bin"/><Relationship Id="rId5" Type="http://schemas.openxmlformats.org/officeDocument/2006/relationships/image" Target="../media/image22.emf"/><Relationship Id="rId4" Type="http://schemas.openxmlformats.org/officeDocument/2006/relationships/oleObject" Target="../embeddings/oleObject21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5.bin"/><Relationship Id="rId5" Type="http://schemas.openxmlformats.org/officeDocument/2006/relationships/image" Target="../media/image23.emf"/><Relationship Id="rId4" Type="http://schemas.openxmlformats.org/officeDocument/2006/relationships/oleObject" Target="../embeddings/oleObject22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6.bin"/><Relationship Id="rId5" Type="http://schemas.openxmlformats.org/officeDocument/2006/relationships/image" Target="../media/image24.emf"/><Relationship Id="rId4" Type="http://schemas.openxmlformats.org/officeDocument/2006/relationships/oleObject" Target="../embeddings/oleObject2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工作表1">
    <tabColor rgb="FFFFFF00"/>
  </sheetPr>
  <dimension ref="A1:C4"/>
  <sheetViews>
    <sheetView workbookViewId="0">
      <selection activeCell="C29" sqref="C29"/>
    </sheetView>
  </sheetViews>
  <sheetFormatPr defaultColWidth="36.28515625" defaultRowHeight="12.75" x14ac:dyDescent="0.2"/>
  <cols>
    <col min="1" max="2" width="12.140625" customWidth="1"/>
    <col min="3" max="3" width="115" customWidth="1"/>
  </cols>
  <sheetData>
    <row r="1" spans="1:3" ht="15.75" x14ac:dyDescent="0.2">
      <c r="A1" s="713" t="s">
        <v>824</v>
      </c>
      <c r="B1" s="713" t="s">
        <v>825</v>
      </c>
      <c r="C1" s="714" t="s">
        <v>826</v>
      </c>
    </row>
    <row r="2" spans="1:3" ht="15" x14ac:dyDescent="0.2">
      <c r="A2" s="715" t="s">
        <v>872</v>
      </c>
      <c r="B2" s="716">
        <v>45436</v>
      </c>
      <c r="C2" s="717" t="s">
        <v>1163</v>
      </c>
    </row>
    <row r="3" spans="1:3" ht="15" x14ac:dyDescent="0.2">
      <c r="A3" s="715"/>
      <c r="B3" s="716"/>
      <c r="C3" s="718"/>
    </row>
    <row r="4" spans="1:3" ht="15" x14ac:dyDescent="0.2">
      <c r="A4" s="715"/>
      <c r="B4" s="716"/>
      <c r="C4" s="718"/>
    </row>
  </sheetData>
  <sheetProtection algorithmName="SHA-512" hashValue="exmyulvKUc3yjEx0QBMjc72fZhpPndlQ02YfeCmwn1j6MNiX35fJWAJe9aMPs25H2rsIqonLo9rkHuPlq8Mdfw==" saltValue="DrPVCkjmkRpa7gSx3Mp9yQ==" spinCount="100000" sheet="1" selectLockedCells="1"/>
  <phoneticPr fontId="45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7">
    <tabColor rgb="FFFFFF00"/>
  </sheetPr>
  <dimension ref="A1:O39"/>
  <sheetViews>
    <sheetView topLeftCell="A17" workbookViewId="0">
      <selection activeCell="F27" sqref="F27"/>
    </sheetView>
  </sheetViews>
  <sheetFormatPr defaultColWidth="10.28515625" defaultRowHeight="16.5" x14ac:dyDescent="0.25"/>
  <cols>
    <col min="1" max="1" width="25.5703125" style="727" customWidth="1"/>
    <col min="2" max="2" width="17.140625" style="789" customWidth="1"/>
    <col min="3" max="3" width="23.7109375" style="788" customWidth="1"/>
    <col min="4" max="4" width="18.7109375" style="789" customWidth="1"/>
    <col min="5" max="5" width="26.140625" style="789" customWidth="1"/>
    <col min="6" max="6" width="21.42578125" style="728" customWidth="1"/>
    <col min="7" max="7" width="19.85546875" style="728" customWidth="1"/>
    <col min="8" max="8" width="14.7109375" style="727" customWidth="1"/>
    <col min="9" max="9" width="16.28515625" style="727" customWidth="1"/>
    <col min="10" max="10" width="16.5703125" style="727" customWidth="1"/>
    <col min="11" max="11" width="25.5703125" style="727" customWidth="1"/>
    <col min="12" max="12" width="21.85546875" style="727" customWidth="1"/>
    <col min="13" max="16384" width="10.28515625" style="727"/>
  </cols>
  <sheetData>
    <row r="1" spans="1:14" ht="30" x14ac:dyDescent="0.45">
      <c r="A1" s="786" t="s">
        <v>53</v>
      </c>
      <c r="B1" s="787"/>
    </row>
    <row r="2" spans="1:14" ht="30.75" thickBot="1" x14ac:dyDescent="0.5">
      <c r="A2" s="786" t="s">
        <v>1126</v>
      </c>
      <c r="B2" s="787"/>
    </row>
    <row r="3" spans="1:14" s="791" customFormat="1" ht="34.5" thickTop="1" thickBot="1" x14ac:dyDescent="0.3">
      <c r="A3" s="730" t="s">
        <v>657</v>
      </c>
      <c r="B3" s="731" t="s">
        <v>1038</v>
      </c>
      <c r="C3" s="732" t="s">
        <v>3</v>
      </c>
      <c r="D3" s="732" t="s">
        <v>1039</v>
      </c>
      <c r="E3" s="732" t="s">
        <v>760</v>
      </c>
      <c r="F3" s="734" t="s">
        <v>758</v>
      </c>
      <c r="G3" s="735" t="s">
        <v>2</v>
      </c>
      <c r="H3" s="736" t="s">
        <v>738</v>
      </c>
      <c r="I3" s="736" t="s">
        <v>4</v>
      </c>
      <c r="J3" s="732" t="s">
        <v>736</v>
      </c>
      <c r="K3" s="732" t="s">
        <v>705</v>
      </c>
      <c r="L3" s="790" t="s">
        <v>761</v>
      </c>
    </row>
    <row r="4" spans="1:14" s="791" customFormat="1" ht="17.25" thickTop="1" x14ac:dyDescent="0.25">
      <c r="A4" s="792" t="s">
        <v>740</v>
      </c>
      <c r="B4" s="849" t="s">
        <v>975</v>
      </c>
      <c r="C4" s="763">
        <v>4000</v>
      </c>
      <c r="D4" s="1040">
        <v>4220.79</v>
      </c>
      <c r="E4" s="769">
        <f>C4-D4</f>
        <v>-220.78999999999996</v>
      </c>
      <c r="F4" s="742"/>
      <c r="G4" s="743" t="s">
        <v>56</v>
      </c>
      <c r="H4" s="758"/>
      <c r="I4" s="924" t="s">
        <v>653</v>
      </c>
      <c r="J4" s="906">
        <v>2</v>
      </c>
      <c r="K4" s="906" t="s">
        <v>1008</v>
      </c>
      <c r="L4" s="916">
        <v>20</v>
      </c>
    </row>
    <row r="5" spans="1:14" s="791" customFormat="1" ht="17.25" thickBot="1" x14ac:dyDescent="0.3">
      <c r="A5" s="793" t="s">
        <v>741</v>
      </c>
      <c r="B5" s="850" t="s">
        <v>960</v>
      </c>
      <c r="C5" s="764">
        <v>4000</v>
      </c>
      <c r="D5" s="1056">
        <v>4220.8900000000003</v>
      </c>
      <c r="E5" s="770">
        <f>C5-D5</f>
        <v>-220.89000000000033</v>
      </c>
      <c r="F5" s="747"/>
      <c r="G5" s="748">
        <f>F4-F5</f>
        <v>0</v>
      </c>
      <c r="H5" s="761"/>
      <c r="I5" s="960"/>
      <c r="J5" s="907"/>
      <c r="K5" s="907"/>
      <c r="L5" s="917"/>
      <c r="N5" s="794"/>
    </row>
    <row r="6" spans="1:14" s="791" customFormat="1" ht="17.25" thickTop="1" x14ac:dyDescent="0.25">
      <c r="A6" s="792" t="s">
        <v>742</v>
      </c>
      <c r="B6" s="849" t="s">
        <v>961</v>
      </c>
      <c r="C6" s="763">
        <v>4000</v>
      </c>
      <c r="D6" s="1040">
        <v>3262.86</v>
      </c>
      <c r="E6" s="769">
        <f t="shared" ref="E6:E19" si="0">C6-D6</f>
        <v>737.13999999999987</v>
      </c>
      <c r="F6" s="742"/>
      <c r="G6" s="743" t="s">
        <v>56</v>
      </c>
      <c r="H6" s="758"/>
      <c r="I6" s="924" t="s">
        <v>653</v>
      </c>
      <c r="J6" s="907"/>
      <c r="K6" s="907"/>
      <c r="L6" s="917"/>
    </row>
    <row r="7" spans="1:14" s="791" customFormat="1" ht="17.25" thickBot="1" x14ac:dyDescent="0.3">
      <c r="A7" s="793" t="s">
        <v>743</v>
      </c>
      <c r="B7" s="850" t="s">
        <v>962</v>
      </c>
      <c r="C7" s="764">
        <v>4000</v>
      </c>
      <c r="D7" s="1056">
        <v>3264.32</v>
      </c>
      <c r="E7" s="770">
        <f t="shared" si="0"/>
        <v>735.67999999999984</v>
      </c>
      <c r="F7" s="747"/>
      <c r="G7" s="748">
        <f>F6-F7</f>
        <v>0</v>
      </c>
      <c r="H7" s="761"/>
      <c r="I7" s="960"/>
      <c r="J7" s="907"/>
      <c r="K7" s="907"/>
      <c r="L7" s="917"/>
      <c r="N7" s="794"/>
    </row>
    <row r="8" spans="1:14" s="791" customFormat="1" ht="17.25" thickTop="1" x14ac:dyDescent="0.25">
      <c r="A8" s="792" t="s">
        <v>744</v>
      </c>
      <c r="B8" s="849" t="s">
        <v>963</v>
      </c>
      <c r="C8" s="763">
        <v>4000</v>
      </c>
      <c r="D8" s="1040">
        <v>3573.16</v>
      </c>
      <c r="E8" s="769">
        <f t="shared" si="0"/>
        <v>426.84000000000015</v>
      </c>
      <c r="F8" s="742"/>
      <c r="G8" s="743" t="s">
        <v>56</v>
      </c>
      <c r="H8" s="758"/>
      <c r="I8" s="924" t="s">
        <v>653</v>
      </c>
      <c r="J8" s="907"/>
      <c r="K8" s="907"/>
      <c r="L8" s="917"/>
    </row>
    <row r="9" spans="1:14" s="791" customFormat="1" ht="17.25" thickBot="1" x14ac:dyDescent="0.3">
      <c r="A9" s="793" t="s">
        <v>745</v>
      </c>
      <c r="B9" s="850" t="s">
        <v>964</v>
      </c>
      <c r="C9" s="764">
        <v>4000</v>
      </c>
      <c r="D9" s="1056">
        <v>3575.05</v>
      </c>
      <c r="E9" s="770">
        <f t="shared" si="0"/>
        <v>424.94999999999982</v>
      </c>
      <c r="F9" s="747"/>
      <c r="G9" s="748">
        <f>F8-F9</f>
        <v>0</v>
      </c>
      <c r="H9" s="761"/>
      <c r="I9" s="960"/>
      <c r="J9" s="907"/>
      <c r="K9" s="907"/>
      <c r="L9" s="917"/>
      <c r="N9" s="794"/>
    </row>
    <row r="10" spans="1:14" s="791" customFormat="1" ht="17.25" thickTop="1" x14ac:dyDescent="0.25">
      <c r="A10" s="792" t="s">
        <v>746</v>
      </c>
      <c r="B10" s="849" t="s">
        <v>965</v>
      </c>
      <c r="C10" s="763">
        <v>4000</v>
      </c>
      <c r="D10" s="1040">
        <v>3367.79</v>
      </c>
      <c r="E10" s="769">
        <f t="shared" si="0"/>
        <v>632.21</v>
      </c>
      <c r="F10" s="742"/>
      <c r="G10" s="743" t="s">
        <v>56</v>
      </c>
      <c r="H10" s="758"/>
      <c r="I10" s="924" t="s">
        <v>653</v>
      </c>
      <c r="J10" s="907"/>
      <c r="K10" s="907"/>
      <c r="L10" s="917"/>
    </row>
    <row r="11" spans="1:14" s="791" customFormat="1" ht="17.25" thickBot="1" x14ac:dyDescent="0.3">
      <c r="A11" s="793" t="s">
        <v>747</v>
      </c>
      <c r="B11" s="850" t="s">
        <v>966</v>
      </c>
      <c r="C11" s="764">
        <v>4000</v>
      </c>
      <c r="D11" s="1056">
        <v>3368.01</v>
      </c>
      <c r="E11" s="770">
        <f t="shared" si="0"/>
        <v>631.98999999999978</v>
      </c>
      <c r="F11" s="747"/>
      <c r="G11" s="748">
        <f>F10-F11</f>
        <v>0</v>
      </c>
      <c r="H11" s="761"/>
      <c r="I11" s="960"/>
      <c r="J11" s="907"/>
      <c r="K11" s="907"/>
      <c r="L11" s="917"/>
    </row>
    <row r="12" spans="1:14" s="791" customFormat="1" ht="17.25" thickTop="1" x14ac:dyDescent="0.25">
      <c r="A12" s="792" t="s">
        <v>748</v>
      </c>
      <c r="B12" s="849" t="s">
        <v>967</v>
      </c>
      <c r="C12" s="763">
        <v>4000</v>
      </c>
      <c r="D12" s="1040">
        <v>3327.81</v>
      </c>
      <c r="E12" s="769">
        <f t="shared" si="0"/>
        <v>672.19</v>
      </c>
      <c r="F12" s="742"/>
      <c r="G12" s="743" t="s">
        <v>56</v>
      </c>
      <c r="H12" s="758"/>
      <c r="I12" s="924" t="s">
        <v>653</v>
      </c>
      <c r="J12" s="907"/>
      <c r="K12" s="907"/>
      <c r="L12" s="917"/>
    </row>
    <row r="13" spans="1:14" s="791" customFormat="1" ht="17.25" thickBot="1" x14ac:dyDescent="0.3">
      <c r="A13" s="793" t="s">
        <v>749</v>
      </c>
      <c r="B13" s="850" t="s">
        <v>968</v>
      </c>
      <c r="C13" s="764">
        <v>4000</v>
      </c>
      <c r="D13" s="1056">
        <v>3328.38</v>
      </c>
      <c r="E13" s="770">
        <f t="shared" si="0"/>
        <v>671.61999999999989</v>
      </c>
      <c r="F13" s="747"/>
      <c r="G13" s="748">
        <f>F12-F13</f>
        <v>0</v>
      </c>
      <c r="H13" s="761"/>
      <c r="I13" s="960"/>
      <c r="J13" s="907"/>
      <c r="K13" s="907"/>
      <c r="L13" s="917"/>
      <c r="N13" s="794"/>
    </row>
    <row r="14" spans="1:14" s="791" customFormat="1" ht="17.25" thickTop="1" x14ac:dyDescent="0.25">
      <c r="A14" s="792" t="s">
        <v>750</v>
      </c>
      <c r="B14" s="849" t="s">
        <v>969</v>
      </c>
      <c r="C14" s="763">
        <v>4000</v>
      </c>
      <c r="D14" s="1040">
        <v>2998.41</v>
      </c>
      <c r="E14" s="769">
        <f t="shared" si="0"/>
        <v>1001.5900000000001</v>
      </c>
      <c r="F14" s="742"/>
      <c r="G14" s="743" t="s">
        <v>56</v>
      </c>
      <c r="H14" s="758"/>
      <c r="I14" s="924" t="s">
        <v>653</v>
      </c>
      <c r="J14" s="907"/>
      <c r="K14" s="907"/>
      <c r="L14" s="917"/>
    </row>
    <row r="15" spans="1:14" s="791" customFormat="1" ht="17.25" thickBot="1" x14ac:dyDescent="0.3">
      <c r="A15" s="793" t="s">
        <v>751</v>
      </c>
      <c r="B15" s="850" t="s">
        <v>970</v>
      </c>
      <c r="C15" s="764">
        <v>4000</v>
      </c>
      <c r="D15" s="1056">
        <v>2998.1</v>
      </c>
      <c r="E15" s="770">
        <f t="shared" si="0"/>
        <v>1001.9000000000001</v>
      </c>
      <c r="F15" s="747"/>
      <c r="G15" s="748">
        <f>F14-F15</f>
        <v>0</v>
      </c>
      <c r="H15" s="761"/>
      <c r="I15" s="960"/>
      <c r="J15" s="907"/>
      <c r="K15" s="907"/>
      <c r="L15" s="917"/>
      <c r="N15" s="794"/>
    </row>
    <row r="16" spans="1:14" s="791" customFormat="1" ht="17.25" thickTop="1" x14ac:dyDescent="0.25">
      <c r="A16" s="792" t="s">
        <v>752</v>
      </c>
      <c r="B16" s="849" t="s">
        <v>971</v>
      </c>
      <c r="C16" s="763">
        <v>4000</v>
      </c>
      <c r="D16" s="1040">
        <v>3015.56</v>
      </c>
      <c r="E16" s="769">
        <f t="shared" si="0"/>
        <v>984.44</v>
      </c>
      <c r="F16" s="742"/>
      <c r="G16" s="743" t="s">
        <v>56</v>
      </c>
      <c r="H16" s="758"/>
      <c r="I16" s="924" t="s">
        <v>653</v>
      </c>
      <c r="J16" s="907"/>
      <c r="K16" s="907"/>
      <c r="L16" s="917"/>
    </row>
    <row r="17" spans="1:15" s="791" customFormat="1" ht="17.25" thickBot="1" x14ac:dyDescent="0.3">
      <c r="A17" s="793" t="s">
        <v>753</v>
      </c>
      <c r="B17" s="850" t="s">
        <v>972</v>
      </c>
      <c r="C17" s="764">
        <v>4000</v>
      </c>
      <c r="D17" s="1056">
        <v>3015.8</v>
      </c>
      <c r="E17" s="770">
        <f t="shared" si="0"/>
        <v>984.19999999999982</v>
      </c>
      <c r="F17" s="747"/>
      <c r="G17" s="748">
        <f>F16-F17</f>
        <v>0</v>
      </c>
      <c r="H17" s="761"/>
      <c r="I17" s="960"/>
      <c r="J17" s="907"/>
      <c r="K17" s="907"/>
      <c r="L17" s="917"/>
      <c r="N17" s="794"/>
    </row>
    <row r="18" spans="1:15" s="791" customFormat="1" ht="17.25" thickTop="1" x14ac:dyDescent="0.25">
      <c r="A18" s="792" t="s">
        <v>754</v>
      </c>
      <c r="B18" s="849" t="s">
        <v>973</v>
      </c>
      <c r="C18" s="763">
        <v>4000</v>
      </c>
      <c r="D18" s="1040">
        <v>2957.93</v>
      </c>
      <c r="E18" s="769">
        <f t="shared" si="0"/>
        <v>1042.0700000000002</v>
      </c>
      <c r="F18" s="742"/>
      <c r="G18" s="743" t="s">
        <v>56</v>
      </c>
      <c r="H18" s="758"/>
      <c r="I18" s="924" t="s">
        <v>653</v>
      </c>
      <c r="J18" s="907"/>
      <c r="K18" s="907"/>
      <c r="L18" s="917"/>
    </row>
    <row r="19" spans="1:15" s="791" customFormat="1" ht="17.25" thickBot="1" x14ac:dyDescent="0.3">
      <c r="A19" s="793" t="s">
        <v>755</v>
      </c>
      <c r="B19" s="850" t="s">
        <v>974</v>
      </c>
      <c r="C19" s="764">
        <v>4000</v>
      </c>
      <c r="D19" s="1056">
        <v>2957.95</v>
      </c>
      <c r="E19" s="770">
        <f t="shared" si="0"/>
        <v>1042.0500000000002</v>
      </c>
      <c r="F19" s="747"/>
      <c r="G19" s="748">
        <f>F18-F19</f>
        <v>0</v>
      </c>
      <c r="H19" s="761"/>
      <c r="I19" s="960"/>
      <c r="J19" s="908"/>
      <c r="K19" s="908"/>
      <c r="L19" s="961"/>
      <c r="N19" s="794"/>
    </row>
    <row r="20" spans="1:15" s="791" customFormat="1" ht="17.25" thickTop="1" x14ac:dyDescent="0.25">
      <c r="A20" s="795"/>
      <c r="B20" s="778"/>
      <c r="C20" s="796"/>
      <c r="D20" s="1057"/>
      <c r="E20" s="781"/>
      <c r="F20" s="797"/>
      <c r="G20" s="798"/>
      <c r="H20" s="799"/>
      <c r="I20" s="799"/>
      <c r="J20" s="799"/>
      <c r="K20" s="799"/>
      <c r="L20" s="799"/>
      <c r="O20" s="794"/>
    </row>
    <row r="21" spans="1:15" s="791" customFormat="1" ht="30.75" thickBot="1" x14ac:dyDescent="0.5">
      <c r="A21" s="800" t="s">
        <v>50</v>
      </c>
      <c r="B21" s="778"/>
      <c r="C21" s="796"/>
      <c r="D21" s="1057"/>
      <c r="E21" s="781"/>
      <c r="F21" s="797"/>
      <c r="G21" s="798"/>
      <c r="H21" s="799"/>
      <c r="I21" s="799"/>
      <c r="J21" s="799"/>
      <c r="K21" s="799"/>
      <c r="L21" s="799"/>
      <c r="O21" s="794"/>
    </row>
    <row r="22" spans="1:15" s="791" customFormat="1" ht="34.5" thickTop="1" thickBot="1" x14ac:dyDescent="0.3">
      <c r="A22" s="730" t="s">
        <v>657</v>
      </c>
      <c r="B22" s="731" t="s">
        <v>1038</v>
      </c>
      <c r="C22" s="731" t="s">
        <v>3</v>
      </c>
      <c r="D22" s="1058" t="s">
        <v>1039</v>
      </c>
      <c r="E22" s="731" t="s">
        <v>760</v>
      </c>
      <c r="F22" s="734" t="s">
        <v>758</v>
      </c>
      <c r="G22" s="735" t="s">
        <v>2</v>
      </c>
      <c r="H22" s="736" t="s">
        <v>738</v>
      </c>
      <c r="I22" s="736" t="s">
        <v>4</v>
      </c>
      <c r="J22" s="732" t="s">
        <v>736</v>
      </c>
      <c r="K22" s="732" t="s">
        <v>705</v>
      </c>
      <c r="L22" s="790" t="s">
        <v>870</v>
      </c>
    </row>
    <row r="23" spans="1:15" s="791" customFormat="1" ht="17.25" thickTop="1" x14ac:dyDescent="0.25">
      <c r="A23" s="801" t="s">
        <v>763</v>
      </c>
      <c r="B23" s="851" t="s">
        <v>976</v>
      </c>
      <c r="C23" s="763">
        <v>9000</v>
      </c>
      <c r="D23" s="1059">
        <v>3475.55</v>
      </c>
      <c r="E23" s="802">
        <f>C23-D23</f>
        <v>5524.45</v>
      </c>
      <c r="F23" s="803"/>
      <c r="G23" s="743" t="s">
        <v>56</v>
      </c>
      <c r="H23" s="758"/>
      <c r="I23" s="924" t="s">
        <v>653</v>
      </c>
      <c r="J23" s="906">
        <v>2</v>
      </c>
      <c r="K23" s="906" t="s">
        <v>737</v>
      </c>
      <c r="L23" s="916">
        <v>20</v>
      </c>
    </row>
    <row r="24" spans="1:15" s="791" customFormat="1" ht="17.25" thickBot="1" x14ac:dyDescent="0.3">
      <c r="A24" s="804" t="s">
        <v>764</v>
      </c>
      <c r="B24" s="852" t="s">
        <v>977</v>
      </c>
      <c r="C24" s="764">
        <v>9000</v>
      </c>
      <c r="D24" s="1041">
        <v>3473.95</v>
      </c>
      <c r="E24" s="805">
        <f>C24-D24</f>
        <v>5526.05</v>
      </c>
      <c r="F24" s="806"/>
      <c r="G24" s="748">
        <f>F23-F24</f>
        <v>0</v>
      </c>
      <c r="H24" s="761"/>
      <c r="I24" s="960"/>
      <c r="J24" s="907"/>
      <c r="K24" s="907"/>
      <c r="L24" s="917"/>
      <c r="O24" s="794"/>
    </row>
    <row r="25" spans="1:15" s="791" customFormat="1" ht="17.25" thickTop="1" x14ac:dyDescent="0.25">
      <c r="A25" s="801" t="s">
        <v>765</v>
      </c>
      <c r="B25" s="851" t="s">
        <v>978</v>
      </c>
      <c r="C25" s="763">
        <v>9000</v>
      </c>
      <c r="D25" s="1059">
        <v>3323.37</v>
      </c>
      <c r="E25" s="802">
        <f t="shared" ref="E25:E38" si="1">C25-D25</f>
        <v>5676.63</v>
      </c>
      <c r="F25" s="803"/>
      <c r="G25" s="743" t="s">
        <v>56</v>
      </c>
      <c r="H25" s="758"/>
      <c r="I25" s="924" t="s">
        <v>653</v>
      </c>
      <c r="J25" s="907"/>
      <c r="K25" s="907"/>
      <c r="L25" s="917"/>
    </row>
    <row r="26" spans="1:15" s="791" customFormat="1" ht="17.25" thickBot="1" x14ac:dyDescent="0.3">
      <c r="A26" s="804" t="s">
        <v>766</v>
      </c>
      <c r="B26" s="852" t="s">
        <v>979</v>
      </c>
      <c r="C26" s="764">
        <v>9000</v>
      </c>
      <c r="D26" s="1041">
        <v>3323.8</v>
      </c>
      <c r="E26" s="805">
        <f t="shared" si="1"/>
        <v>5676.2</v>
      </c>
      <c r="F26" s="806"/>
      <c r="G26" s="748">
        <f>F25-F26</f>
        <v>0</v>
      </c>
      <c r="H26" s="761"/>
      <c r="I26" s="960"/>
      <c r="J26" s="907"/>
      <c r="K26" s="907"/>
      <c r="L26" s="917"/>
      <c r="O26" s="794"/>
    </row>
    <row r="27" spans="1:15" s="791" customFormat="1" ht="17.25" thickTop="1" x14ac:dyDescent="0.25">
      <c r="A27" s="801" t="s">
        <v>767</v>
      </c>
      <c r="B27" s="851" t="s">
        <v>980</v>
      </c>
      <c r="C27" s="763">
        <v>9000</v>
      </c>
      <c r="D27" s="1059">
        <v>3654.36</v>
      </c>
      <c r="E27" s="802">
        <f t="shared" si="1"/>
        <v>5345.6399999999994</v>
      </c>
      <c r="F27" s="803"/>
      <c r="G27" s="743" t="s">
        <v>56</v>
      </c>
      <c r="H27" s="758"/>
      <c r="I27" s="924" t="s">
        <v>653</v>
      </c>
      <c r="J27" s="907"/>
      <c r="K27" s="907"/>
      <c r="L27" s="917"/>
    </row>
    <row r="28" spans="1:15" s="791" customFormat="1" ht="17.25" thickBot="1" x14ac:dyDescent="0.3">
      <c r="A28" s="804" t="s">
        <v>768</v>
      </c>
      <c r="B28" s="852" t="s">
        <v>981</v>
      </c>
      <c r="C28" s="764">
        <v>9000</v>
      </c>
      <c r="D28" s="1041">
        <v>3655.43</v>
      </c>
      <c r="E28" s="805">
        <f t="shared" si="1"/>
        <v>5344.57</v>
      </c>
      <c r="F28" s="806"/>
      <c r="G28" s="748">
        <f>F27-F28</f>
        <v>0</v>
      </c>
      <c r="H28" s="761"/>
      <c r="I28" s="960"/>
      <c r="J28" s="907"/>
      <c r="K28" s="907"/>
      <c r="L28" s="917"/>
      <c r="O28" s="794"/>
    </row>
    <row r="29" spans="1:15" s="791" customFormat="1" ht="17.25" thickTop="1" x14ac:dyDescent="0.25">
      <c r="A29" s="801" t="s">
        <v>769</v>
      </c>
      <c r="B29" s="851" t="s">
        <v>982</v>
      </c>
      <c r="C29" s="763">
        <v>9000</v>
      </c>
      <c r="D29" s="1059">
        <v>2662.36</v>
      </c>
      <c r="E29" s="802">
        <f t="shared" si="1"/>
        <v>6337.6399999999994</v>
      </c>
      <c r="F29" s="803"/>
      <c r="G29" s="743" t="s">
        <v>56</v>
      </c>
      <c r="H29" s="758"/>
      <c r="I29" s="924" t="s">
        <v>653</v>
      </c>
      <c r="J29" s="907"/>
      <c r="K29" s="907"/>
      <c r="L29" s="917"/>
    </row>
    <row r="30" spans="1:15" s="791" customFormat="1" ht="17.25" thickBot="1" x14ac:dyDescent="0.3">
      <c r="A30" s="804" t="s">
        <v>770</v>
      </c>
      <c r="B30" s="852" t="s">
        <v>983</v>
      </c>
      <c r="C30" s="764">
        <v>9000</v>
      </c>
      <c r="D30" s="1041">
        <v>2661.81</v>
      </c>
      <c r="E30" s="805">
        <f t="shared" si="1"/>
        <v>6338.1900000000005</v>
      </c>
      <c r="F30" s="806"/>
      <c r="G30" s="748">
        <f>F29-F30</f>
        <v>0</v>
      </c>
      <c r="H30" s="761"/>
      <c r="I30" s="960"/>
      <c r="J30" s="907"/>
      <c r="K30" s="907"/>
      <c r="L30" s="917"/>
    </row>
    <row r="31" spans="1:15" s="791" customFormat="1" ht="17.25" thickTop="1" x14ac:dyDescent="0.25">
      <c r="A31" s="801" t="s">
        <v>771</v>
      </c>
      <c r="B31" s="851" t="s">
        <v>984</v>
      </c>
      <c r="C31" s="763">
        <v>9000</v>
      </c>
      <c r="D31" s="1059">
        <v>3292.52</v>
      </c>
      <c r="E31" s="802">
        <f t="shared" si="1"/>
        <v>5707.48</v>
      </c>
      <c r="F31" s="803"/>
      <c r="G31" s="743" t="s">
        <v>56</v>
      </c>
      <c r="H31" s="758"/>
      <c r="I31" s="924" t="s">
        <v>653</v>
      </c>
      <c r="J31" s="907"/>
      <c r="K31" s="907"/>
      <c r="L31" s="917"/>
    </row>
    <row r="32" spans="1:15" s="791" customFormat="1" ht="17.25" thickBot="1" x14ac:dyDescent="0.3">
      <c r="A32" s="804" t="s">
        <v>772</v>
      </c>
      <c r="B32" s="852" t="s">
        <v>985</v>
      </c>
      <c r="C32" s="764">
        <v>9000</v>
      </c>
      <c r="D32" s="1041">
        <v>3294.28</v>
      </c>
      <c r="E32" s="805">
        <f t="shared" si="1"/>
        <v>5705.7199999999993</v>
      </c>
      <c r="F32" s="806"/>
      <c r="G32" s="748">
        <f>F31-F32</f>
        <v>0</v>
      </c>
      <c r="H32" s="761"/>
      <c r="I32" s="960"/>
      <c r="J32" s="907"/>
      <c r="K32" s="907"/>
      <c r="L32" s="917"/>
      <c r="O32" s="794"/>
    </row>
    <row r="33" spans="1:15" s="791" customFormat="1" ht="17.25" thickTop="1" x14ac:dyDescent="0.25">
      <c r="A33" s="801" t="s">
        <v>773</v>
      </c>
      <c r="B33" s="851" t="s">
        <v>986</v>
      </c>
      <c r="C33" s="763">
        <v>9000</v>
      </c>
      <c r="D33" s="1059">
        <v>2581.81</v>
      </c>
      <c r="E33" s="802">
        <f t="shared" si="1"/>
        <v>6418.1900000000005</v>
      </c>
      <c r="F33" s="803"/>
      <c r="G33" s="743" t="s">
        <v>56</v>
      </c>
      <c r="H33" s="758"/>
      <c r="I33" s="924" t="s">
        <v>653</v>
      </c>
      <c r="J33" s="907"/>
      <c r="K33" s="907"/>
      <c r="L33" s="917"/>
    </row>
    <row r="34" spans="1:15" s="791" customFormat="1" ht="17.25" thickBot="1" x14ac:dyDescent="0.3">
      <c r="A34" s="804" t="s">
        <v>774</v>
      </c>
      <c r="B34" s="852" t="s">
        <v>987</v>
      </c>
      <c r="C34" s="764">
        <v>9000</v>
      </c>
      <c r="D34" s="1041">
        <v>2582.63</v>
      </c>
      <c r="E34" s="805">
        <f t="shared" si="1"/>
        <v>6417.37</v>
      </c>
      <c r="F34" s="806"/>
      <c r="G34" s="748">
        <f>F33-F34</f>
        <v>0</v>
      </c>
      <c r="H34" s="761"/>
      <c r="I34" s="960"/>
      <c r="J34" s="907"/>
      <c r="K34" s="907"/>
      <c r="L34" s="917"/>
      <c r="O34" s="794"/>
    </row>
    <row r="35" spans="1:15" s="791" customFormat="1" ht="17.25" thickTop="1" x14ac:dyDescent="0.25">
      <c r="A35" s="801" t="s">
        <v>775</v>
      </c>
      <c r="B35" s="851" t="s">
        <v>988</v>
      </c>
      <c r="C35" s="763">
        <v>9000</v>
      </c>
      <c r="D35" s="1059">
        <v>3131.46</v>
      </c>
      <c r="E35" s="802">
        <f t="shared" si="1"/>
        <v>5868.54</v>
      </c>
      <c r="F35" s="803"/>
      <c r="G35" s="743" t="s">
        <v>56</v>
      </c>
      <c r="H35" s="758"/>
      <c r="I35" s="924" t="s">
        <v>653</v>
      </c>
      <c r="J35" s="907"/>
      <c r="K35" s="907"/>
      <c r="L35" s="917"/>
    </row>
    <row r="36" spans="1:15" s="791" customFormat="1" ht="17.25" thickBot="1" x14ac:dyDescent="0.3">
      <c r="A36" s="804" t="s">
        <v>776</v>
      </c>
      <c r="B36" s="852" t="s">
        <v>989</v>
      </c>
      <c r="C36" s="764">
        <v>9000</v>
      </c>
      <c r="D36" s="1041">
        <v>3131.58</v>
      </c>
      <c r="E36" s="805">
        <f t="shared" si="1"/>
        <v>5868.42</v>
      </c>
      <c r="F36" s="806"/>
      <c r="G36" s="748">
        <f>F35-F36</f>
        <v>0</v>
      </c>
      <c r="H36" s="761"/>
      <c r="I36" s="960"/>
      <c r="J36" s="907"/>
      <c r="K36" s="907"/>
      <c r="L36" s="917"/>
      <c r="O36" s="794"/>
    </row>
    <row r="37" spans="1:15" s="791" customFormat="1" ht="17.25" thickTop="1" x14ac:dyDescent="0.25">
      <c r="A37" s="801" t="s">
        <v>777</v>
      </c>
      <c r="B37" s="851" t="s">
        <v>990</v>
      </c>
      <c r="C37" s="763">
        <v>9000</v>
      </c>
      <c r="D37" s="1059">
        <v>2480.5</v>
      </c>
      <c r="E37" s="802">
        <f t="shared" si="1"/>
        <v>6519.5</v>
      </c>
      <c r="F37" s="803"/>
      <c r="G37" s="743" t="s">
        <v>56</v>
      </c>
      <c r="H37" s="758"/>
      <c r="I37" s="924" t="s">
        <v>653</v>
      </c>
      <c r="J37" s="907"/>
      <c r="K37" s="907"/>
      <c r="L37" s="917"/>
    </row>
    <row r="38" spans="1:15" s="791" customFormat="1" ht="17.25" thickBot="1" x14ac:dyDescent="0.3">
      <c r="A38" s="804" t="s">
        <v>778</v>
      </c>
      <c r="B38" s="852" t="s">
        <v>991</v>
      </c>
      <c r="C38" s="764">
        <v>9000</v>
      </c>
      <c r="D38" s="1041">
        <v>2480.96</v>
      </c>
      <c r="E38" s="805">
        <f t="shared" si="1"/>
        <v>6519.04</v>
      </c>
      <c r="F38" s="806"/>
      <c r="G38" s="748">
        <f>F37-F38</f>
        <v>0</v>
      </c>
      <c r="H38" s="761"/>
      <c r="I38" s="960"/>
      <c r="J38" s="908"/>
      <c r="K38" s="908"/>
      <c r="L38" s="961"/>
      <c r="O38" s="794"/>
    </row>
    <row r="39" spans="1:15" ht="17.25" thickTop="1" x14ac:dyDescent="0.25"/>
  </sheetData>
  <sheetProtection algorithmName="SHA-512" hashValue="kpjA4cLET+2nsmOXygssoBiwDLnVrLMtFwfCOXgRoZr+xDxV4W0djYEdpHjk5+mxye32DiU7QUErfdCIuAngcw==" saltValue="+F/toJmCZr2yhbImKkS+Ng==" spinCount="100000" sheet="1" selectLockedCells="1"/>
  <mergeCells count="22">
    <mergeCell ref="I10:I11"/>
    <mergeCell ref="I14:I15"/>
    <mergeCell ref="I25:I26"/>
    <mergeCell ref="I27:I28"/>
    <mergeCell ref="I37:I38"/>
    <mergeCell ref="I23:I24"/>
    <mergeCell ref="I4:I5"/>
    <mergeCell ref="K4:K19"/>
    <mergeCell ref="L4:L19"/>
    <mergeCell ref="J4:J19"/>
    <mergeCell ref="J23:J38"/>
    <mergeCell ref="K23:K38"/>
    <mergeCell ref="I16:I17"/>
    <mergeCell ref="I12:I13"/>
    <mergeCell ref="I18:I19"/>
    <mergeCell ref="I6:I7"/>
    <mergeCell ref="L23:L38"/>
    <mergeCell ref="I35:I36"/>
    <mergeCell ref="I29:I30"/>
    <mergeCell ref="I31:I32"/>
    <mergeCell ref="I33:I34"/>
    <mergeCell ref="I8:I9"/>
  </mergeCells>
  <phoneticPr fontId="35" type="noConversion"/>
  <conditionalFormatting sqref="D20:D21">
    <cfRule type="cellIs" dxfId="32" priority="76" stopIfTrue="1" operator="greaterThan">
      <formula>3000</formula>
    </cfRule>
  </conditionalFormatting>
  <conditionalFormatting sqref="F6">
    <cfRule type="cellIs" dxfId="31" priority="83" stopIfTrue="1" operator="greaterThan">
      <formula>$E$6</formula>
    </cfRule>
  </conditionalFormatting>
  <conditionalFormatting sqref="F7">
    <cfRule type="cellIs" dxfId="30" priority="84" stopIfTrue="1" operator="greaterThan">
      <formula>$E$7</formula>
    </cfRule>
  </conditionalFormatting>
  <conditionalFormatting sqref="F8">
    <cfRule type="cellIs" dxfId="29" priority="85" stopIfTrue="1" operator="greaterThan">
      <formula>$E$8</formula>
    </cfRule>
  </conditionalFormatting>
  <conditionalFormatting sqref="F9">
    <cfRule type="cellIs" dxfId="28" priority="86" stopIfTrue="1" operator="greaterThan">
      <formula>$E$9</formula>
    </cfRule>
  </conditionalFormatting>
  <conditionalFormatting sqref="F10">
    <cfRule type="cellIs" dxfId="27" priority="87" stopIfTrue="1" operator="greaterThan">
      <formula>$E$10</formula>
    </cfRule>
  </conditionalFormatting>
  <conditionalFormatting sqref="F11">
    <cfRule type="cellIs" dxfId="26" priority="88" stopIfTrue="1" operator="greaterThan">
      <formula>$E$11</formula>
    </cfRule>
  </conditionalFormatting>
  <conditionalFormatting sqref="F12">
    <cfRule type="cellIs" dxfId="25" priority="89" stopIfTrue="1" operator="greaterThan">
      <formula>$E$12</formula>
    </cfRule>
  </conditionalFormatting>
  <conditionalFormatting sqref="F13">
    <cfRule type="cellIs" dxfId="24" priority="90" stopIfTrue="1" operator="greaterThan">
      <formula>$E$13</formula>
    </cfRule>
  </conditionalFormatting>
  <conditionalFormatting sqref="F14">
    <cfRule type="cellIs" dxfId="23" priority="91" stopIfTrue="1" operator="greaterThan">
      <formula>$E$14</formula>
    </cfRule>
  </conditionalFormatting>
  <conditionalFormatting sqref="F15">
    <cfRule type="cellIs" dxfId="22" priority="92" stopIfTrue="1" operator="greaterThan">
      <formula>$E$15</formula>
    </cfRule>
  </conditionalFormatting>
  <conditionalFormatting sqref="F16">
    <cfRule type="cellIs" dxfId="21" priority="93" stopIfTrue="1" operator="greaterThan">
      <formula>$E$16</formula>
    </cfRule>
  </conditionalFormatting>
  <conditionalFormatting sqref="F17">
    <cfRule type="cellIs" dxfId="20" priority="94" stopIfTrue="1" operator="greaterThan">
      <formula>$E$17</formula>
    </cfRule>
  </conditionalFormatting>
  <conditionalFormatting sqref="F18">
    <cfRule type="cellIs" dxfId="19" priority="95" stopIfTrue="1" operator="greaterThan">
      <formula>$E$18</formula>
    </cfRule>
  </conditionalFormatting>
  <conditionalFormatting sqref="F19">
    <cfRule type="cellIs" dxfId="18" priority="96" stopIfTrue="1" operator="greaterThan">
      <formula>$E$19</formula>
    </cfRule>
  </conditionalFormatting>
  <conditionalFormatting sqref="F23">
    <cfRule type="cellIs" dxfId="17" priority="97" stopIfTrue="1" operator="greaterThan">
      <formula>$E$23</formula>
    </cfRule>
  </conditionalFormatting>
  <conditionalFormatting sqref="F24">
    <cfRule type="cellIs" dxfId="16" priority="98" stopIfTrue="1" operator="greaterThan">
      <formula>$E$24</formula>
    </cfRule>
  </conditionalFormatting>
  <conditionalFormatting sqref="F25">
    <cfRule type="cellIs" dxfId="15" priority="99" stopIfTrue="1" operator="greaterThan">
      <formula>$E$25</formula>
    </cfRule>
  </conditionalFormatting>
  <conditionalFormatting sqref="F26">
    <cfRule type="cellIs" dxfId="14" priority="100" stopIfTrue="1" operator="greaterThan">
      <formula>$E$26</formula>
    </cfRule>
  </conditionalFormatting>
  <conditionalFormatting sqref="F27">
    <cfRule type="cellIs" dxfId="13" priority="101" stopIfTrue="1" operator="greaterThan">
      <formula>$E$27</formula>
    </cfRule>
  </conditionalFormatting>
  <conditionalFormatting sqref="F28">
    <cfRule type="cellIs" dxfId="12" priority="102" stopIfTrue="1" operator="greaterThan">
      <formula>$E$28</formula>
    </cfRule>
  </conditionalFormatting>
  <conditionalFormatting sqref="F29">
    <cfRule type="cellIs" dxfId="11" priority="103" stopIfTrue="1" operator="greaterThan">
      <formula>$E$29</formula>
    </cfRule>
  </conditionalFormatting>
  <conditionalFormatting sqref="F30">
    <cfRule type="cellIs" dxfId="10" priority="104" stopIfTrue="1" operator="greaterThan">
      <formula>$E$30</formula>
    </cfRule>
  </conditionalFormatting>
  <conditionalFormatting sqref="F31">
    <cfRule type="cellIs" dxfId="9" priority="105" stopIfTrue="1" operator="greaterThan">
      <formula>$E$31</formula>
    </cfRule>
  </conditionalFormatting>
  <conditionalFormatting sqref="F32">
    <cfRule type="cellIs" dxfId="8" priority="106" stopIfTrue="1" operator="greaterThan">
      <formula>$E$32</formula>
    </cfRule>
  </conditionalFormatting>
  <conditionalFormatting sqref="F33">
    <cfRule type="cellIs" dxfId="7" priority="107" stopIfTrue="1" operator="greaterThan">
      <formula>$E$33</formula>
    </cfRule>
  </conditionalFormatting>
  <conditionalFormatting sqref="F34">
    <cfRule type="cellIs" dxfId="6" priority="108" stopIfTrue="1" operator="greaterThan">
      <formula>$E$34</formula>
    </cfRule>
  </conditionalFormatting>
  <conditionalFormatting sqref="F35">
    <cfRule type="cellIs" dxfId="5" priority="109" stopIfTrue="1" operator="greaterThan">
      <formula>$E$35</formula>
    </cfRule>
  </conditionalFormatting>
  <conditionalFormatting sqref="F36">
    <cfRule type="cellIs" dxfId="4" priority="110" stopIfTrue="1" operator="greaterThan">
      <formula>$E$36</formula>
    </cfRule>
  </conditionalFormatting>
  <conditionalFormatting sqref="F37">
    <cfRule type="cellIs" dxfId="3" priority="111" stopIfTrue="1" operator="greaterThan">
      <formula>$E$37</formula>
    </cfRule>
  </conditionalFormatting>
  <conditionalFormatting sqref="F38">
    <cfRule type="cellIs" dxfId="2" priority="112" stopIfTrue="1" operator="greaterThan">
      <formula>$E$38</formula>
    </cfRule>
  </conditionalFormatting>
  <conditionalFormatting sqref="G5 G7 G9 G11 G13 G15 G17 G19 E20:E21 G24 G26 G28 G30 G32 G34 G36 G38">
    <cfRule type="cellIs" dxfId="1" priority="77" stopIfTrue="1" operator="notBetween">
      <formula>-2</formula>
      <formula>2</formula>
    </cfRule>
  </conditionalFormatting>
  <conditionalFormatting sqref="H4:H19 F20:F21 H23:H38">
    <cfRule type="cellIs" dxfId="0" priority="75" stopIfTrue="1" operator="greaterThan">
      <formula>2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>
    <tabColor rgb="FFFFFF00"/>
  </sheetPr>
  <dimension ref="A1:O11"/>
  <sheetViews>
    <sheetView workbookViewId="0">
      <selection activeCell="F3" sqref="F3"/>
    </sheetView>
  </sheetViews>
  <sheetFormatPr defaultColWidth="20.85546875" defaultRowHeight="16.5" x14ac:dyDescent="0.25"/>
  <cols>
    <col min="1" max="1" width="26.5703125" style="620" customWidth="1"/>
    <col min="2" max="2" width="20.85546875" style="609" customWidth="1"/>
    <col min="3" max="3" width="24.85546875" style="638" customWidth="1"/>
    <col min="4" max="5" width="20.85546875" style="609" customWidth="1"/>
    <col min="6" max="8" width="20.85546875" style="620" customWidth="1"/>
    <col min="9" max="9" width="27.42578125" style="620" customWidth="1"/>
    <col min="10" max="16384" width="20.85546875" style="620"/>
  </cols>
  <sheetData>
    <row r="1" spans="1:15" ht="28.5" thickBot="1" x14ac:dyDescent="0.45">
      <c r="A1" s="627" t="s">
        <v>54</v>
      </c>
      <c r="B1" s="636"/>
    </row>
    <row r="2" spans="1:15" s="640" customFormat="1" ht="34.5" thickTop="1" thickBot="1" x14ac:dyDescent="0.3">
      <c r="A2" s="644" t="s">
        <v>702</v>
      </c>
      <c r="B2" s="661" t="s">
        <v>1038</v>
      </c>
      <c r="C2" s="661" t="s">
        <v>3</v>
      </c>
      <c r="D2" s="661" t="s">
        <v>1039</v>
      </c>
      <c r="E2" s="661" t="s">
        <v>795</v>
      </c>
      <c r="F2" s="656" t="s">
        <v>758</v>
      </c>
      <c r="G2" s="657" t="s">
        <v>2</v>
      </c>
      <c r="H2" s="654" t="s">
        <v>738</v>
      </c>
      <c r="I2" s="654" t="s">
        <v>4</v>
      </c>
      <c r="J2" s="654" t="s">
        <v>736</v>
      </c>
      <c r="K2" s="654" t="s">
        <v>705</v>
      </c>
      <c r="L2" s="712" t="s">
        <v>761</v>
      </c>
    </row>
    <row r="3" spans="1:15" s="640" customFormat="1" ht="17.25" thickTop="1" x14ac:dyDescent="0.25">
      <c r="A3" s="689" t="s">
        <v>787</v>
      </c>
      <c r="B3" s="827" t="s">
        <v>1007</v>
      </c>
      <c r="C3" s="698">
        <v>3500</v>
      </c>
      <c r="D3" s="1037">
        <v>997.32</v>
      </c>
      <c r="E3" s="693">
        <f t="shared" ref="E3:E10" si="0">C3-D3</f>
        <v>2502.6799999999998</v>
      </c>
      <c r="F3" s="606"/>
      <c r="G3" s="610" t="s">
        <v>636</v>
      </c>
      <c r="H3" s="691"/>
      <c r="I3" s="967" t="s">
        <v>865</v>
      </c>
      <c r="J3" s="962">
        <v>2</v>
      </c>
      <c r="K3" s="962" t="s">
        <v>797</v>
      </c>
      <c r="L3" s="964">
        <v>20</v>
      </c>
    </row>
    <row r="4" spans="1:15" s="640" customFormat="1" ht="17.25" thickBot="1" x14ac:dyDescent="0.3">
      <c r="A4" s="697" t="s">
        <v>788</v>
      </c>
      <c r="B4" s="828" t="s">
        <v>992</v>
      </c>
      <c r="C4" s="698">
        <v>3500</v>
      </c>
      <c r="D4" s="1038">
        <v>996.77</v>
      </c>
      <c r="E4" s="693">
        <f t="shared" si="0"/>
        <v>2503.23</v>
      </c>
      <c r="F4" s="606"/>
      <c r="G4" s="610">
        <f>F3-F4</f>
        <v>0</v>
      </c>
      <c r="H4" s="691"/>
      <c r="I4" s="968"/>
      <c r="J4" s="962"/>
      <c r="K4" s="962"/>
      <c r="L4" s="965"/>
      <c r="O4" s="641"/>
    </row>
    <row r="5" spans="1:15" s="640" customFormat="1" ht="17.25" thickTop="1" x14ac:dyDescent="0.25">
      <c r="A5" s="697" t="s">
        <v>789</v>
      </c>
      <c r="B5" s="827" t="s">
        <v>993</v>
      </c>
      <c r="C5" s="698">
        <v>3500</v>
      </c>
      <c r="D5" s="1037">
        <v>938.36</v>
      </c>
      <c r="E5" s="693">
        <f t="shared" si="0"/>
        <v>2561.64</v>
      </c>
      <c r="F5" s="606"/>
      <c r="G5" s="610">
        <f>F3-F5</f>
        <v>0</v>
      </c>
      <c r="H5" s="691"/>
      <c r="I5" s="968"/>
      <c r="J5" s="962"/>
      <c r="K5" s="962"/>
      <c r="L5" s="965"/>
    </row>
    <row r="6" spans="1:15" s="640" customFormat="1" ht="17.25" thickBot="1" x14ac:dyDescent="0.3">
      <c r="A6" s="697" t="s">
        <v>790</v>
      </c>
      <c r="B6" s="828" t="s">
        <v>994</v>
      </c>
      <c r="C6" s="698">
        <v>3500</v>
      </c>
      <c r="D6" s="1038">
        <v>938.34</v>
      </c>
      <c r="E6" s="693">
        <f t="shared" si="0"/>
        <v>2561.66</v>
      </c>
      <c r="F6" s="606"/>
      <c r="G6" s="610">
        <f>F5-F6</f>
        <v>0</v>
      </c>
      <c r="H6" s="691"/>
      <c r="I6" s="968"/>
      <c r="J6" s="962"/>
      <c r="K6" s="962"/>
      <c r="L6" s="965"/>
      <c r="N6" s="642"/>
    </row>
    <row r="7" spans="1:15" s="640" customFormat="1" ht="17.25" thickTop="1" x14ac:dyDescent="0.25">
      <c r="A7" s="697" t="s">
        <v>791</v>
      </c>
      <c r="B7" s="827" t="s">
        <v>995</v>
      </c>
      <c r="C7" s="698">
        <v>3500</v>
      </c>
      <c r="D7" s="1037">
        <v>761.69</v>
      </c>
      <c r="E7" s="693">
        <f t="shared" si="0"/>
        <v>2738.31</v>
      </c>
      <c r="F7" s="606"/>
      <c r="G7" s="610">
        <f>F3-F7</f>
        <v>0</v>
      </c>
      <c r="H7" s="691"/>
      <c r="I7" s="968"/>
      <c r="J7" s="962"/>
      <c r="K7" s="962"/>
      <c r="L7" s="965"/>
      <c r="O7" s="641"/>
    </row>
    <row r="8" spans="1:15" s="640" customFormat="1" ht="17.25" thickBot="1" x14ac:dyDescent="0.3">
      <c r="A8" s="697" t="s">
        <v>792</v>
      </c>
      <c r="B8" s="828" t="s">
        <v>996</v>
      </c>
      <c r="C8" s="698">
        <v>3500</v>
      </c>
      <c r="D8" s="1038">
        <v>761.07</v>
      </c>
      <c r="E8" s="693">
        <f t="shared" si="0"/>
        <v>2738.93</v>
      </c>
      <c r="F8" s="606"/>
      <c r="G8" s="610">
        <f>F7-F8</f>
        <v>0</v>
      </c>
      <c r="H8" s="691"/>
      <c r="I8" s="968"/>
      <c r="J8" s="962"/>
      <c r="K8" s="962"/>
      <c r="L8" s="965"/>
    </row>
    <row r="9" spans="1:15" s="640" customFormat="1" ht="17.25" thickTop="1" x14ac:dyDescent="0.25">
      <c r="A9" s="697" t="s">
        <v>793</v>
      </c>
      <c r="B9" s="827" t="s">
        <v>997</v>
      </c>
      <c r="C9" s="698">
        <v>3500</v>
      </c>
      <c r="D9" s="1037">
        <v>559.58000000000004</v>
      </c>
      <c r="E9" s="693">
        <f t="shared" si="0"/>
        <v>2940.42</v>
      </c>
      <c r="F9" s="606"/>
      <c r="G9" s="610">
        <f>F3-F9</f>
        <v>0</v>
      </c>
      <c r="H9" s="691"/>
      <c r="I9" s="968"/>
      <c r="J9" s="962"/>
      <c r="K9" s="962"/>
      <c r="L9" s="965"/>
      <c r="N9" s="642"/>
    </row>
    <row r="10" spans="1:15" s="640" customFormat="1" ht="17.25" thickBot="1" x14ac:dyDescent="0.3">
      <c r="A10" s="690" t="s">
        <v>794</v>
      </c>
      <c r="B10" s="828" t="s">
        <v>998</v>
      </c>
      <c r="C10" s="698">
        <v>3500</v>
      </c>
      <c r="D10" s="1038">
        <v>558.13</v>
      </c>
      <c r="E10" s="694">
        <f t="shared" si="0"/>
        <v>2941.87</v>
      </c>
      <c r="F10" s="611"/>
      <c r="G10" s="630">
        <f>F9-F10</f>
        <v>0</v>
      </c>
      <c r="H10" s="612"/>
      <c r="I10" s="969"/>
      <c r="J10" s="963"/>
      <c r="K10" s="963"/>
      <c r="L10" s="966"/>
      <c r="O10" s="641"/>
    </row>
    <row r="11" spans="1:15" ht="17.25" thickTop="1" x14ac:dyDescent="0.25"/>
  </sheetData>
  <sheetProtection algorithmName="SHA-512" hashValue="0U4ToDu37XLSPKjvcP/UgpDgL9S02jOQxvx7Hbug5DKfNKxi9O8RVrTIap74ENWnSPfvcbYQTa1rgu3uF0h0Bw==" saltValue="A22gqhpDVzZ9vxeP6Ulltg==" spinCount="100000" sheet="1" selectLockedCells="1"/>
  <mergeCells count="4">
    <mergeCell ref="K3:K10"/>
    <mergeCell ref="L3:L10"/>
    <mergeCell ref="I3:I10"/>
    <mergeCell ref="J3:J10"/>
  </mergeCells>
  <phoneticPr fontId="35" type="noConversion"/>
  <conditionalFormatting sqref="F3">
    <cfRule type="cellIs" dxfId="231" priority="27" stopIfTrue="1" operator="greaterThan">
      <formula>$E$3</formula>
    </cfRule>
  </conditionalFormatting>
  <conditionalFormatting sqref="F4">
    <cfRule type="cellIs" dxfId="230" priority="28" stopIfTrue="1" operator="greaterThan">
      <formula>$E$4</formula>
    </cfRule>
  </conditionalFormatting>
  <conditionalFormatting sqref="F5">
    <cfRule type="cellIs" dxfId="229" priority="29" stopIfTrue="1" operator="greaterThan">
      <formula>$E$5</formula>
    </cfRule>
  </conditionalFormatting>
  <conditionalFormatting sqref="F6">
    <cfRule type="cellIs" dxfId="228" priority="30" stopIfTrue="1" operator="greaterThan">
      <formula>$E$6</formula>
    </cfRule>
  </conditionalFormatting>
  <conditionalFormatting sqref="F7">
    <cfRule type="cellIs" dxfId="227" priority="31" stopIfTrue="1" operator="greaterThan">
      <formula>$E$7</formula>
    </cfRule>
  </conditionalFormatting>
  <conditionalFormatting sqref="F8">
    <cfRule type="cellIs" dxfId="226" priority="32" stopIfTrue="1" operator="greaterThan">
      <formula>$E$8</formula>
    </cfRule>
  </conditionalFormatting>
  <conditionalFormatting sqref="F9">
    <cfRule type="cellIs" dxfId="225" priority="33" stopIfTrue="1" operator="greaterThan">
      <formula>$E$9</formula>
    </cfRule>
  </conditionalFormatting>
  <conditionalFormatting sqref="F10">
    <cfRule type="cellIs" dxfId="224" priority="34" stopIfTrue="1" operator="greaterThan">
      <formula>$E$10</formula>
    </cfRule>
  </conditionalFormatting>
  <conditionalFormatting sqref="G4 G6 G8 G10">
    <cfRule type="cellIs" dxfId="223" priority="23" stopIfTrue="1" operator="notBetween">
      <formula>-2</formula>
      <formula>2</formula>
    </cfRule>
  </conditionalFormatting>
  <conditionalFormatting sqref="G5 G7 G9">
    <cfRule type="cellIs" dxfId="222" priority="19" stopIfTrue="1" operator="notBetween">
      <formula>-1000</formula>
      <formula>1000</formula>
    </cfRule>
  </conditionalFormatting>
  <conditionalFormatting sqref="H3:H10">
    <cfRule type="cellIs" dxfId="221" priority="17" stopIfTrue="1" operator="greaterThan">
      <formula>2</formula>
    </cfRule>
  </conditionalFormatting>
  <conditionalFormatting sqref="D3">
    <cfRule type="cellIs" dxfId="220" priority="1" stopIfTrue="1" operator="greaterThan">
      <formula>$E$4</formula>
    </cfRule>
  </conditionalFormatting>
  <conditionalFormatting sqref="D4">
    <cfRule type="cellIs" dxfId="219" priority="2" stopIfTrue="1" operator="greaterThan">
      <formula>$E$5</formula>
    </cfRule>
  </conditionalFormatting>
  <conditionalFormatting sqref="D5">
    <cfRule type="cellIs" dxfId="218" priority="3" stopIfTrue="1" operator="greaterThan">
      <formula>$E$6</formula>
    </cfRule>
  </conditionalFormatting>
  <conditionalFormatting sqref="D6">
    <cfRule type="cellIs" dxfId="217" priority="4" stopIfTrue="1" operator="greaterThan">
      <formula>$E$7</formula>
    </cfRule>
  </conditionalFormatting>
  <conditionalFormatting sqref="D7">
    <cfRule type="cellIs" dxfId="216" priority="5" stopIfTrue="1" operator="greaterThan">
      <formula>$E$8</formula>
    </cfRule>
  </conditionalFormatting>
  <conditionalFormatting sqref="D8">
    <cfRule type="cellIs" dxfId="215" priority="6" stopIfTrue="1" operator="greaterThan">
      <formula>$E$9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9">
    <tabColor rgb="FFFFFF00"/>
  </sheetPr>
  <dimension ref="A1:P10"/>
  <sheetViews>
    <sheetView tabSelected="1" workbookViewId="0">
      <selection activeCell="H4" sqref="H4:H8"/>
    </sheetView>
  </sheetViews>
  <sheetFormatPr defaultColWidth="10.28515625" defaultRowHeight="16.5" x14ac:dyDescent="0.25"/>
  <cols>
    <col min="1" max="1" width="28.140625" style="620" customWidth="1"/>
    <col min="2" max="2" width="21.85546875" style="609" customWidth="1"/>
    <col min="3" max="3" width="25.42578125" style="643" customWidth="1"/>
    <col min="4" max="4" width="18.28515625" style="638" customWidth="1"/>
    <col min="5" max="5" width="24.5703125" style="609" customWidth="1"/>
    <col min="6" max="6" width="19.140625" style="620" customWidth="1"/>
    <col min="7" max="7" width="12" style="620" customWidth="1"/>
    <col min="8" max="8" width="17.85546875" style="620" customWidth="1"/>
    <col min="9" max="9" width="17.7109375" style="620" customWidth="1"/>
    <col min="10" max="10" width="13.42578125" style="620" customWidth="1"/>
    <col min="11" max="11" width="17.7109375" style="620" customWidth="1"/>
    <col min="12" max="12" width="14.7109375" style="620" customWidth="1"/>
    <col min="13" max="13" width="25.85546875" style="620" customWidth="1"/>
    <col min="14" max="16384" width="10.28515625" style="620"/>
  </cols>
  <sheetData>
    <row r="1" spans="1:16" ht="28.5" thickBot="1" x14ac:dyDescent="0.45">
      <c r="A1" s="627" t="s">
        <v>52</v>
      </c>
      <c r="B1" s="636"/>
      <c r="C1" s="637"/>
    </row>
    <row r="2" spans="1:16" s="640" customFormat="1" ht="34.5" thickTop="1" thickBot="1" x14ac:dyDescent="0.3">
      <c r="A2" s="622" t="s">
        <v>702</v>
      </c>
      <c r="B2" s="679" t="s">
        <v>1038</v>
      </c>
      <c r="C2" s="679" t="s">
        <v>3</v>
      </c>
      <c r="D2" s="679" t="s">
        <v>1039</v>
      </c>
      <c r="E2" s="679" t="s">
        <v>760</v>
      </c>
      <c r="F2" s="656" t="s">
        <v>783</v>
      </c>
      <c r="G2" s="657" t="s">
        <v>2</v>
      </c>
      <c r="H2" s="654" t="s">
        <v>738</v>
      </c>
      <c r="I2" s="654" t="s">
        <v>4</v>
      </c>
      <c r="J2" s="621" t="s">
        <v>739</v>
      </c>
      <c r="K2" s="621" t="s">
        <v>708</v>
      </c>
      <c r="L2" s="696" t="s">
        <v>869</v>
      </c>
      <c r="M2" s="631" t="s">
        <v>761</v>
      </c>
    </row>
    <row r="3" spans="1:16" s="640" customFormat="1" ht="17.25" thickTop="1" x14ac:dyDescent="0.25">
      <c r="A3" s="807" t="s">
        <v>779</v>
      </c>
      <c r="B3" s="862" t="s">
        <v>1001</v>
      </c>
      <c r="C3" s="1060">
        <v>14000</v>
      </c>
      <c r="D3" s="1061">
        <v>6061.52</v>
      </c>
      <c r="E3" s="1062">
        <f t="shared" ref="E3:E9" si="0">C3-D3</f>
        <v>7938.48</v>
      </c>
      <c r="F3" s="673"/>
      <c r="G3" s="632" t="s">
        <v>636</v>
      </c>
      <c r="H3" s="604"/>
      <c r="I3" s="956" t="s">
        <v>1023</v>
      </c>
      <c r="J3" s="973" t="s">
        <v>782</v>
      </c>
      <c r="K3" s="973" t="s">
        <v>785</v>
      </c>
      <c r="L3" s="970">
        <v>12</v>
      </c>
      <c r="M3" s="953">
        <v>12</v>
      </c>
    </row>
    <row r="4" spans="1:16" s="640" customFormat="1" ht="17.25" thickBot="1" x14ac:dyDescent="0.3">
      <c r="A4" s="808" t="s">
        <v>640</v>
      </c>
      <c r="B4" s="862" t="s">
        <v>1002</v>
      </c>
      <c r="C4" s="1063">
        <v>14000</v>
      </c>
      <c r="D4" s="1064">
        <v>6061.51</v>
      </c>
      <c r="E4" s="1065">
        <f t="shared" si="0"/>
        <v>7938.49</v>
      </c>
      <c r="F4" s="695"/>
      <c r="G4" s="610">
        <f>F3-F4</f>
        <v>0</v>
      </c>
      <c r="H4" s="605"/>
      <c r="I4" s="957"/>
      <c r="J4" s="974"/>
      <c r="K4" s="974"/>
      <c r="L4" s="971"/>
      <c r="M4" s="954"/>
      <c r="P4" s="641"/>
    </row>
    <row r="5" spans="1:16" s="640" customFormat="1" ht="17.25" thickTop="1" x14ac:dyDescent="0.25">
      <c r="A5" s="808" t="s">
        <v>780</v>
      </c>
      <c r="B5" s="862" t="s">
        <v>1003</v>
      </c>
      <c r="C5" s="1060">
        <v>14000</v>
      </c>
      <c r="D5" s="1066">
        <v>6061.62</v>
      </c>
      <c r="E5" s="1065">
        <f t="shared" si="0"/>
        <v>7938.38</v>
      </c>
      <c r="F5" s="695"/>
      <c r="G5" s="610">
        <f>F3-F5</f>
        <v>0</v>
      </c>
      <c r="H5" s="605"/>
      <c r="I5" s="957"/>
      <c r="J5" s="974"/>
      <c r="K5" s="974"/>
      <c r="L5" s="971"/>
      <c r="M5" s="954"/>
    </row>
    <row r="6" spans="1:16" s="640" customFormat="1" ht="17.25" thickBot="1" x14ac:dyDescent="0.3">
      <c r="A6" s="808" t="s">
        <v>781</v>
      </c>
      <c r="B6" s="862" t="s">
        <v>866</v>
      </c>
      <c r="C6" s="1063">
        <v>14000</v>
      </c>
      <c r="D6" s="1066">
        <v>6061.79</v>
      </c>
      <c r="E6" s="1065">
        <f t="shared" si="0"/>
        <v>7938.21</v>
      </c>
      <c r="F6" s="695"/>
      <c r="G6" s="610">
        <f>F3-F6</f>
        <v>0</v>
      </c>
      <c r="H6" s="605"/>
      <c r="I6" s="957"/>
      <c r="J6" s="974"/>
      <c r="K6" s="974"/>
      <c r="L6" s="971"/>
      <c r="M6" s="954"/>
      <c r="O6" s="642"/>
    </row>
    <row r="7" spans="1:16" s="640" customFormat="1" ht="17.25" thickTop="1" x14ac:dyDescent="0.25">
      <c r="A7" s="808" t="s">
        <v>650</v>
      </c>
      <c r="B7" s="862" t="s">
        <v>867</v>
      </c>
      <c r="C7" s="1060">
        <v>14000</v>
      </c>
      <c r="D7" s="1066">
        <v>6061.95</v>
      </c>
      <c r="E7" s="1065">
        <f t="shared" si="0"/>
        <v>7938.05</v>
      </c>
      <c r="F7" s="695"/>
      <c r="G7" s="610">
        <f>F3-F7</f>
        <v>0</v>
      </c>
      <c r="H7" s="605"/>
      <c r="I7" s="959"/>
      <c r="J7" s="975"/>
      <c r="K7" s="975"/>
      <c r="L7" s="971"/>
      <c r="M7" s="954"/>
      <c r="O7" s="642"/>
    </row>
    <row r="8" spans="1:16" s="640" customFormat="1" ht="17.25" thickBot="1" x14ac:dyDescent="0.3">
      <c r="A8" s="808" t="s">
        <v>651</v>
      </c>
      <c r="B8" s="862" t="s">
        <v>999</v>
      </c>
      <c r="C8" s="1063">
        <v>14000</v>
      </c>
      <c r="D8" s="1067"/>
      <c r="E8" s="1065"/>
      <c r="F8" s="695"/>
      <c r="G8" s="610">
        <f>F3-F8</f>
        <v>0</v>
      </c>
      <c r="H8" s="605"/>
      <c r="I8" s="959"/>
      <c r="J8" s="975"/>
      <c r="K8" s="975"/>
      <c r="L8" s="971"/>
      <c r="M8" s="954"/>
      <c r="O8" s="642"/>
    </row>
    <row r="9" spans="1:16" s="640" customFormat="1" ht="18" thickTop="1" thickBot="1" x14ac:dyDescent="0.3">
      <c r="A9" s="809" t="s">
        <v>641</v>
      </c>
      <c r="B9" s="863" t="s">
        <v>1000</v>
      </c>
      <c r="C9" s="1068">
        <v>14000</v>
      </c>
      <c r="D9" s="1067">
        <v>6061.46</v>
      </c>
      <c r="E9" s="1069">
        <f t="shared" si="0"/>
        <v>7938.54</v>
      </c>
      <c r="F9" s="675"/>
      <c r="G9" s="630">
        <f>F3-F9</f>
        <v>0</v>
      </c>
      <c r="H9" s="607"/>
      <c r="I9" s="958"/>
      <c r="J9" s="976"/>
      <c r="K9" s="976"/>
      <c r="L9" s="972"/>
      <c r="M9" s="955"/>
      <c r="P9" s="641"/>
    </row>
    <row r="10" spans="1:16" ht="17.25" thickTop="1" x14ac:dyDescent="0.25"/>
  </sheetData>
  <sheetProtection algorithmName="SHA-512" hashValue="khZ21YWFMUWMsNJDBiWQaZx0iBuRf35dQDChaBgfeNq+BOU0bbtbREeOmA6hNnLappickTviZSQzsi/yt2dp5A==" saltValue="Wt8KoaM1qjWEor2ZN4fgXw==" spinCount="100000" sheet="1" selectLockedCells="1"/>
  <mergeCells count="5">
    <mergeCell ref="I3:I9"/>
    <mergeCell ref="L3:L9"/>
    <mergeCell ref="M3:M9"/>
    <mergeCell ref="J3:J9"/>
    <mergeCell ref="K3:K9"/>
  </mergeCells>
  <phoneticPr fontId="35" type="noConversion"/>
  <conditionalFormatting sqref="F3">
    <cfRule type="cellIs" dxfId="214" priority="11" stopIfTrue="1" operator="greaterThan">
      <formula>$E$3</formula>
    </cfRule>
  </conditionalFormatting>
  <conditionalFormatting sqref="F4">
    <cfRule type="cellIs" dxfId="213" priority="12" stopIfTrue="1" operator="greaterThan">
      <formula>$E$4</formula>
    </cfRule>
  </conditionalFormatting>
  <conditionalFormatting sqref="F5">
    <cfRule type="cellIs" dxfId="212" priority="13" stopIfTrue="1" operator="greaterThan">
      <formula>$E$5</formula>
    </cfRule>
  </conditionalFormatting>
  <conditionalFormatting sqref="F6">
    <cfRule type="cellIs" dxfId="211" priority="14" stopIfTrue="1" operator="greaterThan">
      <formula>$E$6</formula>
    </cfRule>
  </conditionalFormatting>
  <conditionalFormatting sqref="F7">
    <cfRule type="cellIs" dxfId="210" priority="15" stopIfTrue="1" operator="greaterThan">
      <formula>$E$7</formula>
    </cfRule>
  </conditionalFormatting>
  <conditionalFormatting sqref="F8">
    <cfRule type="cellIs" dxfId="209" priority="16" stopIfTrue="1" operator="greaterThan">
      <formula>$E$8</formula>
    </cfRule>
  </conditionalFormatting>
  <conditionalFormatting sqref="F9">
    <cfRule type="cellIs" dxfId="208" priority="17" stopIfTrue="1" operator="greaterThan">
      <formula>$E$9</formula>
    </cfRule>
  </conditionalFormatting>
  <conditionalFormatting sqref="G4:G9">
    <cfRule type="cellIs" dxfId="207" priority="9" stopIfTrue="1" operator="notBetween">
      <formula>-250</formula>
      <formula>250</formula>
    </cfRule>
  </conditionalFormatting>
  <conditionalFormatting sqref="D3:D9">
    <cfRule type="cellIs" dxfId="206" priority="1" operator="greaterThanOrEqual">
      <formula>$E$4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3">
    <tabColor rgb="FFFFFF00"/>
  </sheetPr>
  <dimension ref="A1:P12"/>
  <sheetViews>
    <sheetView workbookViewId="0">
      <selection activeCell="F3" sqref="F3:F9"/>
    </sheetView>
  </sheetViews>
  <sheetFormatPr defaultColWidth="10.28515625" defaultRowHeight="16.5" x14ac:dyDescent="0.25"/>
  <cols>
    <col min="1" max="1" width="34.140625" style="620" customWidth="1"/>
    <col min="2" max="2" width="30.5703125" style="609" customWidth="1"/>
    <col min="3" max="3" width="24.7109375" style="638" customWidth="1"/>
    <col min="4" max="4" width="17.5703125" style="609" customWidth="1"/>
    <col min="5" max="5" width="32.28515625" style="609" customWidth="1"/>
    <col min="6" max="6" width="20.5703125" style="608" customWidth="1"/>
    <col min="7" max="7" width="15.85546875" style="620" customWidth="1"/>
    <col min="8" max="8" width="12.5703125" style="620" customWidth="1"/>
    <col min="9" max="9" width="19.28515625" style="608" customWidth="1"/>
    <col min="10" max="10" width="10.28515625" style="620"/>
    <col min="11" max="11" width="15.28515625" style="620" customWidth="1"/>
    <col min="12" max="12" width="15" style="620" customWidth="1"/>
    <col min="13" max="13" width="21.28515625" style="620" customWidth="1"/>
    <col min="14" max="16384" width="10.28515625" style="620"/>
  </cols>
  <sheetData>
    <row r="1" spans="1:16" ht="28.5" thickBot="1" x14ac:dyDescent="0.45">
      <c r="A1" s="627" t="s">
        <v>806</v>
      </c>
      <c r="B1" s="636"/>
    </row>
    <row r="2" spans="1:16" s="640" customFormat="1" ht="34.5" thickTop="1" thickBot="1" x14ac:dyDescent="0.3">
      <c r="A2" s="622" t="s">
        <v>702</v>
      </c>
      <c r="B2" s="679" t="s">
        <v>1038</v>
      </c>
      <c r="C2" s="679" t="s">
        <v>3</v>
      </c>
      <c r="D2" s="679" t="s">
        <v>1039</v>
      </c>
      <c r="E2" s="679" t="s">
        <v>808</v>
      </c>
      <c r="F2" s="623" t="s">
        <v>758</v>
      </c>
      <c r="G2" s="657" t="s">
        <v>2</v>
      </c>
      <c r="H2" s="654" t="s">
        <v>738</v>
      </c>
      <c r="I2" s="654" t="s">
        <v>4</v>
      </c>
      <c r="J2" s="625" t="s">
        <v>736</v>
      </c>
      <c r="K2" s="625" t="s">
        <v>705</v>
      </c>
      <c r="L2" s="625" t="s">
        <v>871</v>
      </c>
      <c r="M2" s="625" t="s">
        <v>761</v>
      </c>
    </row>
    <row r="3" spans="1:16" s="640" customFormat="1" ht="17.25" thickTop="1" x14ac:dyDescent="0.25">
      <c r="A3" s="1015" t="s">
        <v>1030</v>
      </c>
      <c r="B3" s="1016" t="s">
        <v>1030</v>
      </c>
      <c r="C3" s="1070">
        <v>12000</v>
      </c>
      <c r="D3" s="1040">
        <v>3348.77</v>
      </c>
      <c r="E3" s="1062">
        <f t="shared" ref="E3:E8" si="0">C3-D3</f>
        <v>8651.23</v>
      </c>
      <c r="F3" s="673"/>
      <c r="G3" s="632" t="s">
        <v>807</v>
      </c>
      <c r="H3" s="604"/>
      <c r="I3" s="977" t="s">
        <v>1127</v>
      </c>
      <c r="J3" s="980" t="s">
        <v>809</v>
      </c>
      <c r="K3" s="983" t="s">
        <v>811</v>
      </c>
      <c r="L3" s="983">
        <v>12</v>
      </c>
      <c r="M3" s="953">
        <v>12</v>
      </c>
    </row>
    <row r="4" spans="1:16" s="640" customFormat="1" x14ac:dyDescent="0.25">
      <c r="A4" s="879" t="s">
        <v>1029</v>
      </c>
      <c r="B4" s="880" t="s">
        <v>1029</v>
      </c>
      <c r="C4" s="1071">
        <v>12000</v>
      </c>
      <c r="D4" s="1072">
        <v>3338.63</v>
      </c>
      <c r="E4" s="1073">
        <f t="shared" si="0"/>
        <v>8661.369999999999</v>
      </c>
      <c r="F4" s="695"/>
      <c r="G4" s="610">
        <f>F3-F4</f>
        <v>0</v>
      </c>
      <c r="H4" s="605"/>
      <c r="I4" s="978"/>
      <c r="J4" s="981"/>
      <c r="K4" s="984"/>
      <c r="L4" s="984"/>
      <c r="M4" s="954"/>
      <c r="P4" s="641"/>
    </row>
    <row r="5" spans="1:16" s="640" customFormat="1" x14ac:dyDescent="0.25">
      <c r="A5" s="874" t="s">
        <v>1028</v>
      </c>
      <c r="B5" s="875" t="s">
        <v>1028</v>
      </c>
      <c r="C5" s="1071">
        <v>12000</v>
      </c>
      <c r="D5" s="1072">
        <v>3347.9</v>
      </c>
      <c r="E5" s="1065">
        <f t="shared" si="0"/>
        <v>8652.1</v>
      </c>
      <c r="F5" s="695"/>
      <c r="G5" s="610">
        <f>F3-F5</f>
        <v>0</v>
      </c>
      <c r="H5" s="605"/>
      <c r="I5" s="978"/>
      <c r="J5" s="981"/>
      <c r="K5" s="984"/>
      <c r="L5" s="984"/>
      <c r="M5" s="954"/>
    </row>
    <row r="6" spans="1:16" s="640" customFormat="1" x14ac:dyDescent="0.25">
      <c r="A6" s="874" t="s">
        <v>1027</v>
      </c>
      <c r="B6" s="875" t="s">
        <v>1027</v>
      </c>
      <c r="C6" s="1071">
        <v>12000</v>
      </c>
      <c r="D6" s="1072">
        <v>3339.53</v>
      </c>
      <c r="E6" s="1065">
        <f t="shared" si="0"/>
        <v>8660.4699999999993</v>
      </c>
      <c r="F6" s="695"/>
      <c r="G6" s="610">
        <f>F3-F6</f>
        <v>0</v>
      </c>
      <c r="H6" s="605"/>
      <c r="I6" s="978"/>
      <c r="J6" s="981"/>
      <c r="K6" s="984"/>
      <c r="L6" s="984"/>
      <c r="M6" s="954"/>
      <c r="O6" s="642"/>
    </row>
    <row r="7" spans="1:16" s="640" customFormat="1" ht="21" customHeight="1" x14ac:dyDescent="0.25">
      <c r="A7" s="879" t="s">
        <v>1031</v>
      </c>
      <c r="B7" s="880" t="s">
        <v>1031</v>
      </c>
      <c r="C7" s="1071">
        <v>12000</v>
      </c>
      <c r="D7" s="1072">
        <v>3346.86</v>
      </c>
      <c r="E7" s="1065">
        <f t="shared" si="0"/>
        <v>8653.14</v>
      </c>
      <c r="F7" s="695"/>
      <c r="G7" s="610">
        <f>F3-F7</f>
        <v>0</v>
      </c>
      <c r="H7" s="605"/>
      <c r="I7" s="978"/>
      <c r="J7" s="981"/>
      <c r="K7" s="984"/>
      <c r="L7" s="984"/>
      <c r="M7" s="954"/>
      <c r="P7" s="641"/>
    </row>
    <row r="8" spans="1:16" s="640" customFormat="1" ht="17.25" thickBot="1" x14ac:dyDescent="0.3">
      <c r="A8" s="879" t="s">
        <v>1033</v>
      </c>
      <c r="B8" s="880" t="s">
        <v>1033</v>
      </c>
      <c r="C8" s="1074">
        <v>12000</v>
      </c>
      <c r="D8" s="1072">
        <v>3436.52</v>
      </c>
      <c r="E8" s="1075">
        <f t="shared" si="0"/>
        <v>8563.48</v>
      </c>
      <c r="F8" s="675"/>
      <c r="G8" s="630">
        <f>F3-F8</f>
        <v>0</v>
      </c>
      <c r="H8" s="607"/>
      <c r="I8" s="978"/>
      <c r="J8" s="981"/>
      <c r="K8" s="984"/>
      <c r="L8" s="984"/>
      <c r="M8" s="954"/>
      <c r="P8" s="641"/>
    </row>
    <row r="9" spans="1:16" s="640" customFormat="1" ht="18" thickTop="1" thickBot="1" x14ac:dyDescent="0.3">
      <c r="A9" s="870" t="s">
        <v>1026</v>
      </c>
      <c r="B9" s="871" t="s">
        <v>1026</v>
      </c>
      <c r="C9" s="1074">
        <v>12000</v>
      </c>
      <c r="D9" s="1056">
        <v>3408.73</v>
      </c>
      <c r="E9" s="1075">
        <f t="shared" ref="E9" si="1">C9-D9</f>
        <v>8591.27</v>
      </c>
      <c r="F9" s="675"/>
      <c r="G9" s="630">
        <f>F4-F9</f>
        <v>0</v>
      </c>
      <c r="H9" s="607"/>
      <c r="I9" s="979"/>
      <c r="J9" s="982"/>
      <c r="K9" s="985"/>
      <c r="L9" s="985"/>
      <c r="M9" s="955"/>
      <c r="P9" s="641"/>
    </row>
    <row r="10" spans="1:16" ht="17.25" thickTop="1" x14ac:dyDescent="0.25"/>
    <row r="12" spans="1:16" x14ac:dyDescent="0.25">
      <c r="E12" s="819"/>
    </row>
  </sheetData>
  <sheetProtection algorithmName="SHA-512" hashValue="1Gps3RHNwGtpu2iKkAyZCTgjc+7bwEfRs1+M60UA/rvWgmpIh/8qSU5H9DMvmQschlboEuqwRABH7toJDg3Org==" saltValue="YMZ9pZlW9WYvJn+o+Ea2wA==" spinCount="100000" sheet="1" selectLockedCells="1"/>
  <mergeCells count="5">
    <mergeCell ref="I3:I9"/>
    <mergeCell ref="J3:J9"/>
    <mergeCell ref="K3:K9"/>
    <mergeCell ref="L3:L9"/>
    <mergeCell ref="M3:M9"/>
  </mergeCells>
  <phoneticPr fontId="35" type="noConversion"/>
  <conditionalFormatting sqref="F3">
    <cfRule type="cellIs" dxfId="205" priority="14" stopIfTrue="1" operator="greaterThan">
      <formula>$E$3</formula>
    </cfRule>
  </conditionalFormatting>
  <conditionalFormatting sqref="F4">
    <cfRule type="cellIs" dxfId="204" priority="15" stopIfTrue="1" operator="greaterThan">
      <formula>$E$4</formula>
    </cfRule>
  </conditionalFormatting>
  <conditionalFormatting sqref="F5">
    <cfRule type="cellIs" dxfId="203" priority="16" stopIfTrue="1" operator="greaterThan">
      <formula>$E$5</formula>
    </cfRule>
  </conditionalFormatting>
  <conditionalFormatting sqref="F6">
    <cfRule type="cellIs" dxfId="202" priority="17" stopIfTrue="1" operator="greaterThan">
      <formula>$E$6</formula>
    </cfRule>
  </conditionalFormatting>
  <conditionalFormatting sqref="F7">
    <cfRule type="cellIs" dxfId="201" priority="18" stopIfTrue="1" operator="greaterThan">
      <formula>$E$7</formula>
    </cfRule>
  </conditionalFormatting>
  <conditionalFormatting sqref="F8:F9">
    <cfRule type="cellIs" dxfId="200" priority="12" stopIfTrue="1" operator="greaterThan">
      <formula>$E$8</formula>
    </cfRule>
  </conditionalFormatting>
  <conditionalFormatting sqref="G4:G9">
    <cfRule type="cellIs" dxfId="199" priority="13" stopIfTrue="1" operator="notBetween">
      <formula>-250</formula>
      <formula>250</formula>
    </cfRule>
  </conditionalFormatting>
  <conditionalFormatting sqref="D3">
    <cfRule type="cellIs" dxfId="198" priority="2" stopIfTrue="1" operator="greaterThan">
      <formula>#REF!</formula>
    </cfRule>
  </conditionalFormatting>
  <conditionalFormatting sqref="D4">
    <cfRule type="cellIs" dxfId="197" priority="3" stopIfTrue="1" operator="greaterThan">
      <formula>#REF!</formula>
    </cfRule>
  </conditionalFormatting>
  <conditionalFormatting sqref="D5">
    <cfRule type="cellIs" dxfId="196" priority="4" stopIfTrue="1" operator="greaterThan">
      <formula>#REF!</formula>
    </cfRule>
  </conditionalFormatting>
  <conditionalFormatting sqref="D6:D9">
    <cfRule type="cellIs" dxfId="195" priority="1" stopIfTrue="1" operator="greaterThan">
      <formula>#REF!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1C86B0-1E81-48EA-B8BD-228894CB581A}">
  <sheetPr>
    <tabColor rgb="FFFFFF00"/>
  </sheetPr>
  <dimension ref="A1:O32"/>
  <sheetViews>
    <sheetView workbookViewId="0">
      <selection activeCell="C20" sqref="C20"/>
    </sheetView>
  </sheetViews>
  <sheetFormatPr defaultRowHeight="16.5" x14ac:dyDescent="0.2"/>
  <cols>
    <col min="1" max="1" width="33.7109375" style="867" customWidth="1"/>
    <col min="2" max="2" width="42.42578125" style="866" customWidth="1"/>
    <col min="3" max="3" width="27.85546875" style="867" bestFit="1" customWidth="1"/>
    <col min="4" max="4" width="17.42578125" style="867" bestFit="1" customWidth="1"/>
    <col min="5" max="5" width="20.42578125" style="867" customWidth="1"/>
    <col min="6" max="6" width="17.28515625" style="867" customWidth="1"/>
    <col min="7" max="7" width="8.85546875" style="867" bestFit="1" customWidth="1"/>
    <col min="8" max="8" width="5.5703125" style="867" bestFit="1" customWidth="1"/>
    <col min="9" max="9" width="18.5703125" style="866" bestFit="1" customWidth="1"/>
    <col min="10" max="10" width="6.85546875" style="866" bestFit="1" customWidth="1"/>
    <col min="11" max="11" width="13.42578125" style="866" customWidth="1"/>
    <col min="12" max="12" width="9.5703125" style="866" bestFit="1" customWidth="1"/>
    <col min="13" max="13" width="13.7109375" style="866" bestFit="1" customWidth="1"/>
    <col min="14" max="254" width="9.140625" style="866"/>
    <col min="255" max="255" width="27.28515625" style="866" customWidth="1"/>
    <col min="256" max="256" width="17" style="866" bestFit="1" customWidth="1"/>
    <col min="257" max="257" width="28.85546875" style="866" customWidth="1"/>
    <col min="258" max="258" width="18.140625" style="866" bestFit="1" customWidth="1"/>
    <col min="259" max="259" width="20.42578125" style="866" bestFit="1" customWidth="1"/>
    <col min="260" max="260" width="10.140625" style="866" bestFit="1" customWidth="1"/>
    <col min="261" max="261" width="8.28515625" style="866" bestFit="1" customWidth="1"/>
    <col min="262" max="262" width="13.42578125" style="866" bestFit="1" customWidth="1"/>
    <col min="263" max="263" width="34.28515625" style="866" customWidth="1"/>
    <col min="264" max="510" width="9.140625" style="866"/>
    <col min="511" max="511" width="27.28515625" style="866" customWidth="1"/>
    <col min="512" max="512" width="17" style="866" bestFit="1" customWidth="1"/>
    <col min="513" max="513" width="28.85546875" style="866" customWidth="1"/>
    <col min="514" max="514" width="18.140625" style="866" bestFit="1" customWidth="1"/>
    <col min="515" max="515" width="20.42578125" style="866" bestFit="1" customWidth="1"/>
    <col min="516" max="516" width="10.140625" style="866" bestFit="1" customWidth="1"/>
    <col min="517" max="517" width="8.28515625" style="866" bestFit="1" customWidth="1"/>
    <col min="518" max="518" width="13.42578125" style="866" bestFit="1" customWidth="1"/>
    <col min="519" max="519" width="34.28515625" style="866" customWidth="1"/>
    <col min="520" max="766" width="9.140625" style="866"/>
    <col min="767" max="767" width="27.28515625" style="866" customWidth="1"/>
    <col min="768" max="768" width="17" style="866" bestFit="1" customWidth="1"/>
    <col min="769" max="769" width="28.85546875" style="866" customWidth="1"/>
    <col min="770" max="770" width="18.140625" style="866" bestFit="1" customWidth="1"/>
    <col min="771" max="771" width="20.42578125" style="866" bestFit="1" customWidth="1"/>
    <col min="772" max="772" width="10.140625" style="866" bestFit="1" customWidth="1"/>
    <col min="773" max="773" width="8.28515625" style="866" bestFit="1" customWidth="1"/>
    <col min="774" max="774" width="13.42578125" style="866" bestFit="1" customWidth="1"/>
    <col min="775" max="775" width="34.28515625" style="866" customWidth="1"/>
    <col min="776" max="1022" width="9.140625" style="866"/>
    <col min="1023" max="1023" width="27.28515625" style="866" customWidth="1"/>
    <col min="1024" max="1024" width="17" style="866" bestFit="1" customWidth="1"/>
    <col min="1025" max="1025" width="28.85546875" style="866" customWidth="1"/>
    <col min="1026" max="1026" width="18.140625" style="866" bestFit="1" customWidth="1"/>
    <col min="1027" max="1027" width="20.42578125" style="866" bestFit="1" customWidth="1"/>
    <col min="1028" max="1028" width="10.140625" style="866" bestFit="1" customWidth="1"/>
    <col min="1029" max="1029" width="8.28515625" style="866" bestFit="1" customWidth="1"/>
    <col min="1030" max="1030" width="13.42578125" style="866" bestFit="1" customWidth="1"/>
    <col min="1031" max="1031" width="34.28515625" style="866" customWidth="1"/>
    <col min="1032" max="1278" width="9.140625" style="866"/>
    <col min="1279" max="1279" width="27.28515625" style="866" customWidth="1"/>
    <col min="1280" max="1280" width="17" style="866" bestFit="1" customWidth="1"/>
    <col min="1281" max="1281" width="28.85546875" style="866" customWidth="1"/>
    <col min="1282" max="1282" width="18.140625" style="866" bestFit="1" customWidth="1"/>
    <col min="1283" max="1283" width="20.42578125" style="866" bestFit="1" customWidth="1"/>
    <col min="1284" max="1284" width="10.140625" style="866" bestFit="1" customWidth="1"/>
    <col min="1285" max="1285" width="8.28515625" style="866" bestFit="1" customWidth="1"/>
    <col min="1286" max="1286" width="13.42578125" style="866" bestFit="1" customWidth="1"/>
    <col min="1287" max="1287" width="34.28515625" style="866" customWidth="1"/>
    <col min="1288" max="1534" width="9.140625" style="866"/>
    <col min="1535" max="1535" width="27.28515625" style="866" customWidth="1"/>
    <col min="1536" max="1536" width="17" style="866" bestFit="1" customWidth="1"/>
    <col min="1537" max="1537" width="28.85546875" style="866" customWidth="1"/>
    <col min="1538" max="1538" width="18.140625" style="866" bestFit="1" customWidth="1"/>
    <col min="1539" max="1539" width="20.42578125" style="866" bestFit="1" customWidth="1"/>
    <col min="1540" max="1540" width="10.140625" style="866" bestFit="1" customWidth="1"/>
    <col min="1541" max="1541" width="8.28515625" style="866" bestFit="1" customWidth="1"/>
    <col min="1542" max="1542" width="13.42578125" style="866" bestFit="1" customWidth="1"/>
    <col min="1543" max="1543" width="34.28515625" style="866" customWidth="1"/>
    <col min="1544" max="1790" width="9.140625" style="866"/>
    <col min="1791" max="1791" width="27.28515625" style="866" customWidth="1"/>
    <col min="1792" max="1792" width="17" style="866" bestFit="1" customWidth="1"/>
    <col min="1793" max="1793" width="28.85546875" style="866" customWidth="1"/>
    <col min="1794" max="1794" width="18.140625" style="866" bestFit="1" customWidth="1"/>
    <col min="1795" max="1795" width="20.42578125" style="866" bestFit="1" customWidth="1"/>
    <col min="1796" max="1796" width="10.140625" style="866" bestFit="1" customWidth="1"/>
    <col min="1797" max="1797" width="8.28515625" style="866" bestFit="1" customWidth="1"/>
    <col min="1798" max="1798" width="13.42578125" style="866" bestFit="1" customWidth="1"/>
    <col min="1799" max="1799" width="34.28515625" style="866" customWidth="1"/>
    <col min="1800" max="2046" width="9.140625" style="866"/>
    <col min="2047" max="2047" width="27.28515625" style="866" customWidth="1"/>
    <col min="2048" max="2048" width="17" style="866" bestFit="1" customWidth="1"/>
    <col min="2049" max="2049" width="28.85546875" style="866" customWidth="1"/>
    <col min="2050" max="2050" width="18.140625" style="866" bestFit="1" customWidth="1"/>
    <col min="2051" max="2051" width="20.42578125" style="866" bestFit="1" customWidth="1"/>
    <col min="2052" max="2052" width="10.140625" style="866" bestFit="1" customWidth="1"/>
    <col min="2053" max="2053" width="8.28515625" style="866" bestFit="1" customWidth="1"/>
    <col min="2054" max="2054" width="13.42578125" style="866" bestFit="1" customWidth="1"/>
    <col min="2055" max="2055" width="34.28515625" style="866" customWidth="1"/>
    <col min="2056" max="2302" width="9.140625" style="866"/>
    <col min="2303" max="2303" width="27.28515625" style="866" customWidth="1"/>
    <col min="2304" max="2304" width="17" style="866" bestFit="1" customWidth="1"/>
    <col min="2305" max="2305" width="28.85546875" style="866" customWidth="1"/>
    <col min="2306" max="2306" width="18.140625" style="866" bestFit="1" customWidth="1"/>
    <col min="2307" max="2307" width="20.42578125" style="866" bestFit="1" customWidth="1"/>
    <col min="2308" max="2308" width="10.140625" style="866" bestFit="1" customWidth="1"/>
    <col min="2309" max="2309" width="8.28515625" style="866" bestFit="1" customWidth="1"/>
    <col min="2310" max="2310" width="13.42578125" style="866" bestFit="1" customWidth="1"/>
    <col min="2311" max="2311" width="34.28515625" style="866" customWidth="1"/>
    <col min="2312" max="2558" width="9.140625" style="866"/>
    <col min="2559" max="2559" width="27.28515625" style="866" customWidth="1"/>
    <col min="2560" max="2560" width="17" style="866" bestFit="1" customWidth="1"/>
    <col min="2561" max="2561" width="28.85546875" style="866" customWidth="1"/>
    <col min="2562" max="2562" width="18.140625" style="866" bestFit="1" customWidth="1"/>
    <col min="2563" max="2563" width="20.42578125" style="866" bestFit="1" customWidth="1"/>
    <col min="2564" max="2564" width="10.140625" style="866" bestFit="1" customWidth="1"/>
    <col min="2565" max="2565" width="8.28515625" style="866" bestFit="1" customWidth="1"/>
    <col min="2566" max="2566" width="13.42578125" style="866" bestFit="1" customWidth="1"/>
    <col min="2567" max="2567" width="34.28515625" style="866" customWidth="1"/>
    <col min="2568" max="2814" width="9.140625" style="866"/>
    <col min="2815" max="2815" width="27.28515625" style="866" customWidth="1"/>
    <col min="2816" max="2816" width="17" style="866" bestFit="1" customWidth="1"/>
    <col min="2817" max="2817" width="28.85546875" style="866" customWidth="1"/>
    <col min="2818" max="2818" width="18.140625" style="866" bestFit="1" customWidth="1"/>
    <col min="2819" max="2819" width="20.42578125" style="866" bestFit="1" customWidth="1"/>
    <col min="2820" max="2820" width="10.140625" style="866" bestFit="1" customWidth="1"/>
    <col min="2821" max="2821" width="8.28515625" style="866" bestFit="1" customWidth="1"/>
    <col min="2822" max="2822" width="13.42578125" style="866" bestFit="1" customWidth="1"/>
    <col min="2823" max="2823" width="34.28515625" style="866" customWidth="1"/>
    <col min="2824" max="3070" width="9.140625" style="866"/>
    <col min="3071" max="3071" width="27.28515625" style="866" customWidth="1"/>
    <col min="3072" max="3072" width="17" style="866" bestFit="1" customWidth="1"/>
    <col min="3073" max="3073" width="28.85546875" style="866" customWidth="1"/>
    <col min="3074" max="3074" width="18.140625" style="866" bestFit="1" customWidth="1"/>
    <col min="3075" max="3075" width="20.42578125" style="866" bestFit="1" customWidth="1"/>
    <col min="3076" max="3076" width="10.140625" style="866" bestFit="1" customWidth="1"/>
    <col min="3077" max="3077" width="8.28515625" style="866" bestFit="1" customWidth="1"/>
    <col min="3078" max="3078" width="13.42578125" style="866" bestFit="1" customWidth="1"/>
    <col min="3079" max="3079" width="34.28515625" style="866" customWidth="1"/>
    <col min="3080" max="3326" width="9.140625" style="866"/>
    <col min="3327" max="3327" width="27.28515625" style="866" customWidth="1"/>
    <col min="3328" max="3328" width="17" style="866" bestFit="1" customWidth="1"/>
    <col min="3329" max="3329" width="28.85546875" style="866" customWidth="1"/>
    <col min="3330" max="3330" width="18.140625" style="866" bestFit="1" customWidth="1"/>
    <col min="3331" max="3331" width="20.42578125" style="866" bestFit="1" customWidth="1"/>
    <col min="3332" max="3332" width="10.140625" style="866" bestFit="1" customWidth="1"/>
    <col min="3333" max="3333" width="8.28515625" style="866" bestFit="1" customWidth="1"/>
    <col min="3334" max="3334" width="13.42578125" style="866" bestFit="1" customWidth="1"/>
    <col min="3335" max="3335" width="34.28515625" style="866" customWidth="1"/>
    <col min="3336" max="3582" width="9.140625" style="866"/>
    <col min="3583" max="3583" width="27.28515625" style="866" customWidth="1"/>
    <col min="3584" max="3584" width="17" style="866" bestFit="1" customWidth="1"/>
    <col min="3585" max="3585" width="28.85546875" style="866" customWidth="1"/>
    <col min="3586" max="3586" width="18.140625" style="866" bestFit="1" customWidth="1"/>
    <col min="3587" max="3587" width="20.42578125" style="866" bestFit="1" customWidth="1"/>
    <col min="3588" max="3588" width="10.140625" style="866" bestFit="1" customWidth="1"/>
    <col min="3589" max="3589" width="8.28515625" style="866" bestFit="1" customWidth="1"/>
    <col min="3590" max="3590" width="13.42578125" style="866" bestFit="1" customWidth="1"/>
    <col min="3591" max="3591" width="34.28515625" style="866" customWidth="1"/>
    <col min="3592" max="3838" width="9.140625" style="866"/>
    <col min="3839" max="3839" width="27.28515625" style="866" customWidth="1"/>
    <col min="3840" max="3840" width="17" style="866" bestFit="1" customWidth="1"/>
    <col min="3841" max="3841" width="28.85546875" style="866" customWidth="1"/>
    <col min="3842" max="3842" width="18.140625" style="866" bestFit="1" customWidth="1"/>
    <col min="3843" max="3843" width="20.42578125" style="866" bestFit="1" customWidth="1"/>
    <col min="3844" max="3844" width="10.140625" style="866" bestFit="1" customWidth="1"/>
    <col min="3845" max="3845" width="8.28515625" style="866" bestFit="1" customWidth="1"/>
    <col min="3846" max="3846" width="13.42578125" style="866" bestFit="1" customWidth="1"/>
    <col min="3847" max="3847" width="34.28515625" style="866" customWidth="1"/>
    <col min="3848" max="4094" width="9.140625" style="866"/>
    <col min="4095" max="4095" width="27.28515625" style="866" customWidth="1"/>
    <col min="4096" max="4096" width="17" style="866" bestFit="1" customWidth="1"/>
    <col min="4097" max="4097" width="28.85546875" style="866" customWidth="1"/>
    <col min="4098" max="4098" width="18.140625" style="866" bestFit="1" customWidth="1"/>
    <col min="4099" max="4099" width="20.42578125" style="866" bestFit="1" customWidth="1"/>
    <col min="4100" max="4100" width="10.140625" style="866" bestFit="1" customWidth="1"/>
    <col min="4101" max="4101" width="8.28515625" style="866" bestFit="1" customWidth="1"/>
    <col min="4102" max="4102" width="13.42578125" style="866" bestFit="1" customWidth="1"/>
    <col min="4103" max="4103" width="34.28515625" style="866" customWidth="1"/>
    <col min="4104" max="4350" width="9.140625" style="866"/>
    <col min="4351" max="4351" width="27.28515625" style="866" customWidth="1"/>
    <col min="4352" max="4352" width="17" style="866" bestFit="1" customWidth="1"/>
    <col min="4353" max="4353" width="28.85546875" style="866" customWidth="1"/>
    <col min="4354" max="4354" width="18.140625" style="866" bestFit="1" customWidth="1"/>
    <col min="4355" max="4355" width="20.42578125" style="866" bestFit="1" customWidth="1"/>
    <col min="4356" max="4356" width="10.140625" style="866" bestFit="1" customWidth="1"/>
    <col min="4357" max="4357" width="8.28515625" style="866" bestFit="1" customWidth="1"/>
    <col min="4358" max="4358" width="13.42578125" style="866" bestFit="1" customWidth="1"/>
    <col min="4359" max="4359" width="34.28515625" style="866" customWidth="1"/>
    <col min="4360" max="4606" width="9.140625" style="866"/>
    <col min="4607" max="4607" width="27.28515625" style="866" customWidth="1"/>
    <col min="4608" max="4608" width="17" style="866" bestFit="1" customWidth="1"/>
    <col min="4609" max="4609" width="28.85546875" style="866" customWidth="1"/>
    <col min="4610" max="4610" width="18.140625" style="866" bestFit="1" customWidth="1"/>
    <col min="4611" max="4611" width="20.42578125" style="866" bestFit="1" customWidth="1"/>
    <col min="4612" max="4612" width="10.140625" style="866" bestFit="1" customWidth="1"/>
    <col min="4613" max="4613" width="8.28515625" style="866" bestFit="1" customWidth="1"/>
    <col min="4614" max="4614" width="13.42578125" style="866" bestFit="1" customWidth="1"/>
    <col min="4615" max="4615" width="34.28515625" style="866" customWidth="1"/>
    <col min="4616" max="4862" width="9.140625" style="866"/>
    <col min="4863" max="4863" width="27.28515625" style="866" customWidth="1"/>
    <col min="4864" max="4864" width="17" style="866" bestFit="1" customWidth="1"/>
    <col min="4865" max="4865" width="28.85546875" style="866" customWidth="1"/>
    <col min="4866" max="4866" width="18.140625" style="866" bestFit="1" customWidth="1"/>
    <col min="4867" max="4867" width="20.42578125" style="866" bestFit="1" customWidth="1"/>
    <col min="4868" max="4868" width="10.140625" style="866" bestFit="1" customWidth="1"/>
    <col min="4869" max="4869" width="8.28515625" style="866" bestFit="1" customWidth="1"/>
    <col min="4870" max="4870" width="13.42578125" style="866" bestFit="1" customWidth="1"/>
    <col min="4871" max="4871" width="34.28515625" style="866" customWidth="1"/>
    <col min="4872" max="5118" width="9.140625" style="866"/>
    <col min="5119" max="5119" width="27.28515625" style="866" customWidth="1"/>
    <col min="5120" max="5120" width="17" style="866" bestFit="1" customWidth="1"/>
    <col min="5121" max="5121" width="28.85546875" style="866" customWidth="1"/>
    <col min="5122" max="5122" width="18.140625" style="866" bestFit="1" customWidth="1"/>
    <col min="5123" max="5123" width="20.42578125" style="866" bestFit="1" customWidth="1"/>
    <col min="5124" max="5124" width="10.140625" style="866" bestFit="1" customWidth="1"/>
    <col min="5125" max="5125" width="8.28515625" style="866" bestFit="1" customWidth="1"/>
    <col min="5126" max="5126" width="13.42578125" style="866" bestFit="1" customWidth="1"/>
    <col min="5127" max="5127" width="34.28515625" style="866" customWidth="1"/>
    <col min="5128" max="5374" width="9.140625" style="866"/>
    <col min="5375" max="5375" width="27.28515625" style="866" customWidth="1"/>
    <col min="5376" max="5376" width="17" style="866" bestFit="1" customWidth="1"/>
    <col min="5377" max="5377" width="28.85546875" style="866" customWidth="1"/>
    <col min="5378" max="5378" width="18.140625" style="866" bestFit="1" customWidth="1"/>
    <col min="5379" max="5379" width="20.42578125" style="866" bestFit="1" customWidth="1"/>
    <col min="5380" max="5380" width="10.140625" style="866" bestFit="1" customWidth="1"/>
    <col min="5381" max="5381" width="8.28515625" style="866" bestFit="1" customWidth="1"/>
    <col min="5382" max="5382" width="13.42578125" style="866" bestFit="1" customWidth="1"/>
    <col min="5383" max="5383" width="34.28515625" style="866" customWidth="1"/>
    <col min="5384" max="5630" width="9.140625" style="866"/>
    <col min="5631" max="5631" width="27.28515625" style="866" customWidth="1"/>
    <col min="5632" max="5632" width="17" style="866" bestFit="1" customWidth="1"/>
    <col min="5633" max="5633" width="28.85546875" style="866" customWidth="1"/>
    <col min="5634" max="5634" width="18.140625" style="866" bestFit="1" customWidth="1"/>
    <col min="5635" max="5635" width="20.42578125" style="866" bestFit="1" customWidth="1"/>
    <col min="5636" max="5636" width="10.140625" style="866" bestFit="1" customWidth="1"/>
    <col min="5637" max="5637" width="8.28515625" style="866" bestFit="1" customWidth="1"/>
    <col min="5638" max="5638" width="13.42578125" style="866" bestFit="1" customWidth="1"/>
    <col min="5639" max="5639" width="34.28515625" style="866" customWidth="1"/>
    <col min="5640" max="5886" width="9.140625" style="866"/>
    <col min="5887" max="5887" width="27.28515625" style="866" customWidth="1"/>
    <col min="5888" max="5888" width="17" style="866" bestFit="1" customWidth="1"/>
    <col min="5889" max="5889" width="28.85546875" style="866" customWidth="1"/>
    <col min="5890" max="5890" width="18.140625" style="866" bestFit="1" customWidth="1"/>
    <col min="5891" max="5891" width="20.42578125" style="866" bestFit="1" customWidth="1"/>
    <col min="5892" max="5892" width="10.140625" style="866" bestFit="1" customWidth="1"/>
    <col min="5893" max="5893" width="8.28515625" style="866" bestFit="1" customWidth="1"/>
    <col min="5894" max="5894" width="13.42578125" style="866" bestFit="1" customWidth="1"/>
    <col min="5895" max="5895" width="34.28515625" style="866" customWidth="1"/>
    <col min="5896" max="6142" width="9.140625" style="866"/>
    <col min="6143" max="6143" width="27.28515625" style="866" customWidth="1"/>
    <col min="6144" max="6144" width="17" style="866" bestFit="1" customWidth="1"/>
    <col min="6145" max="6145" width="28.85546875" style="866" customWidth="1"/>
    <col min="6146" max="6146" width="18.140625" style="866" bestFit="1" customWidth="1"/>
    <col min="6147" max="6147" width="20.42578125" style="866" bestFit="1" customWidth="1"/>
    <col min="6148" max="6148" width="10.140625" style="866" bestFit="1" customWidth="1"/>
    <col min="6149" max="6149" width="8.28515625" style="866" bestFit="1" customWidth="1"/>
    <col min="6150" max="6150" width="13.42578125" style="866" bestFit="1" customWidth="1"/>
    <col min="6151" max="6151" width="34.28515625" style="866" customWidth="1"/>
    <col min="6152" max="6398" width="9.140625" style="866"/>
    <col min="6399" max="6399" width="27.28515625" style="866" customWidth="1"/>
    <col min="6400" max="6400" width="17" style="866" bestFit="1" customWidth="1"/>
    <col min="6401" max="6401" width="28.85546875" style="866" customWidth="1"/>
    <col min="6402" max="6402" width="18.140625" style="866" bestFit="1" customWidth="1"/>
    <col min="6403" max="6403" width="20.42578125" style="866" bestFit="1" customWidth="1"/>
    <col min="6404" max="6404" width="10.140625" style="866" bestFit="1" customWidth="1"/>
    <col min="6405" max="6405" width="8.28515625" style="866" bestFit="1" customWidth="1"/>
    <col min="6406" max="6406" width="13.42578125" style="866" bestFit="1" customWidth="1"/>
    <col min="6407" max="6407" width="34.28515625" style="866" customWidth="1"/>
    <col min="6408" max="6654" width="9.140625" style="866"/>
    <col min="6655" max="6655" width="27.28515625" style="866" customWidth="1"/>
    <col min="6656" max="6656" width="17" style="866" bestFit="1" customWidth="1"/>
    <col min="6657" max="6657" width="28.85546875" style="866" customWidth="1"/>
    <col min="6658" max="6658" width="18.140625" style="866" bestFit="1" customWidth="1"/>
    <col min="6659" max="6659" width="20.42578125" style="866" bestFit="1" customWidth="1"/>
    <col min="6660" max="6660" width="10.140625" style="866" bestFit="1" customWidth="1"/>
    <col min="6661" max="6661" width="8.28515625" style="866" bestFit="1" customWidth="1"/>
    <col min="6662" max="6662" width="13.42578125" style="866" bestFit="1" customWidth="1"/>
    <col min="6663" max="6663" width="34.28515625" style="866" customWidth="1"/>
    <col min="6664" max="6910" width="9.140625" style="866"/>
    <col min="6911" max="6911" width="27.28515625" style="866" customWidth="1"/>
    <col min="6912" max="6912" width="17" style="866" bestFit="1" customWidth="1"/>
    <col min="6913" max="6913" width="28.85546875" style="866" customWidth="1"/>
    <col min="6914" max="6914" width="18.140625" style="866" bestFit="1" customWidth="1"/>
    <col min="6915" max="6915" width="20.42578125" style="866" bestFit="1" customWidth="1"/>
    <col min="6916" max="6916" width="10.140625" style="866" bestFit="1" customWidth="1"/>
    <col min="6917" max="6917" width="8.28515625" style="866" bestFit="1" customWidth="1"/>
    <col min="6918" max="6918" width="13.42578125" style="866" bestFit="1" customWidth="1"/>
    <col min="6919" max="6919" width="34.28515625" style="866" customWidth="1"/>
    <col min="6920" max="7166" width="9.140625" style="866"/>
    <col min="7167" max="7167" width="27.28515625" style="866" customWidth="1"/>
    <col min="7168" max="7168" width="17" style="866" bestFit="1" customWidth="1"/>
    <col min="7169" max="7169" width="28.85546875" style="866" customWidth="1"/>
    <col min="7170" max="7170" width="18.140625" style="866" bestFit="1" customWidth="1"/>
    <col min="7171" max="7171" width="20.42578125" style="866" bestFit="1" customWidth="1"/>
    <col min="7172" max="7172" width="10.140625" style="866" bestFit="1" customWidth="1"/>
    <col min="7173" max="7173" width="8.28515625" style="866" bestFit="1" customWidth="1"/>
    <col min="7174" max="7174" width="13.42578125" style="866" bestFit="1" customWidth="1"/>
    <col min="7175" max="7175" width="34.28515625" style="866" customWidth="1"/>
    <col min="7176" max="7422" width="9.140625" style="866"/>
    <col min="7423" max="7423" width="27.28515625" style="866" customWidth="1"/>
    <col min="7424" max="7424" width="17" style="866" bestFit="1" customWidth="1"/>
    <col min="7425" max="7425" width="28.85546875" style="866" customWidth="1"/>
    <col min="7426" max="7426" width="18.140625" style="866" bestFit="1" customWidth="1"/>
    <col min="7427" max="7427" width="20.42578125" style="866" bestFit="1" customWidth="1"/>
    <col min="7428" max="7428" width="10.140625" style="866" bestFit="1" customWidth="1"/>
    <col min="7429" max="7429" width="8.28515625" style="866" bestFit="1" customWidth="1"/>
    <col min="7430" max="7430" width="13.42578125" style="866" bestFit="1" customWidth="1"/>
    <col min="7431" max="7431" width="34.28515625" style="866" customWidth="1"/>
    <col min="7432" max="7678" width="9.140625" style="866"/>
    <col min="7679" max="7679" width="27.28515625" style="866" customWidth="1"/>
    <col min="7680" max="7680" width="17" style="866" bestFit="1" customWidth="1"/>
    <col min="7681" max="7681" width="28.85546875" style="866" customWidth="1"/>
    <col min="7682" max="7682" width="18.140625" style="866" bestFit="1" customWidth="1"/>
    <col min="7683" max="7683" width="20.42578125" style="866" bestFit="1" customWidth="1"/>
    <col min="7684" max="7684" width="10.140625" style="866" bestFit="1" customWidth="1"/>
    <col min="7685" max="7685" width="8.28515625" style="866" bestFit="1" customWidth="1"/>
    <col min="7686" max="7686" width="13.42578125" style="866" bestFit="1" customWidth="1"/>
    <col min="7687" max="7687" width="34.28515625" style="866" customWidth="1"/>
    <col min="7688" max="7934" width="9.140625" style="866"/>
    <col min="7935" max="7935" width="27.28515625" style="866" customWidth="1"/>
    <col min="7936" max="7936" width="17" style="866" bestFit="1" customWidth="1"/>
    <col min="7937" max="7937" width="28.85546875" style="866" customWidth="1"/>
    <col min="7938" max="7938" width="18.140625" style="866" bestFit="1" customWidth="1"/>
    <col min="7939" max="7939" width="20.42578125" style="866" bestFit="1" customWidth="1"/>
    <col min="7940" max="7940" width="10.140625" style="866" bestFit="1" customWidth="1"/>
    <col min="7941" max="7941" width="8.28515625" style="866" bestFit="1" customWidth="1"/>
    <col min="7942" max="7942" width="13.42578125" style="866" bestFit="1" customWidth="1"/>
    <col min="7943" max="7943" width="34.28515625" style="866" customWidth="1"/>
    <col min="7944" max="8190" width="9.140625" style="866"/>
    <col min="8191" max="8191" width="27.28515625" style="866" customWidth="1"/>
    <col min="8192" max="8192" width="17" style="866" bestFit="1" customWidth="1"/>
    <col min="8193" max="8193" width="28.85546875" style="866" customWidth="1"/>
    <col min="8194" max="8194" width="18.140625" style="866" bestFit="1" customWidth="1"/>
    <col min="8195" max="8195" width="20.42578125" style="866" bestFit="1" customWidth="1"/>
    <col min="8196" max="8196" width="10.140625" style="866" bestFit="1" customWidth="1"/>
    <col min="8197" max="8197" width="8.28515625" style="866" bestFit="1" customWidth="1"/>
    <col min="8198" max="8198" width="13.42578125" style="866" bestFit="1" customWidth="1"/>
    <col min="8199" max="8199" width="34.28515625" style="866" customWidth="1"/>
    <col min="8200" max="8446" width="9.140625" style="866"/>
    <col min="8447" max="8447" width="27.28515625" style="866" customWidth="1"/>
    <col min="8448" max="8448" width="17" style="866" bestFit="1" customWidth="1"/>
    <col min="8449" max="8449" width="28.85546875" style="866" customWidth="1"/>
    <col min="8450" max="8450" width="18.140625" style="866" bestFit="1" customWidth="1"/>
    <col min="8451" max="8451" width="20.42578125" style="866" bestFit="1" customWidth="1"/>
    <col min="8452" max="8452" width="10.140625" style="866" bestFit="1" customWidth="1"/>
    <col min="8453" max="8453" width="8.28515625" style="866" bestFit="1" customWidth="1"/>
    <col min="8454" max="8454" width="13.42578125" style="866" bestFit="1" customWidth="1"/>
    <col min="8455" max="8455" width="34.28515625" style="866" customWidth="1"/>
    <col min="8456" max="8702" width="9.140625" style="866"/>
    <col min="8703" max="8703" width="27.28515625" style="866" customWidth="1"/>
    <col min="8704" max="8704" width="17" style="866" bestFit="1" customWidth="1"/>
    <col min="8705" max="8705" width="28.85546875" style="866" customWidth="1"/>
    <col min="8706" max="8706" width="18.140625" style="866" bestFit="1" customWidth="1"/>
    <col min="8707" max="8707" width="20.42578125" style="866" bestFit="1" customWidth="1"/>
    <col min="8708" max="8708" width="10.140625" style="866" bestFit="1" customWidth="1"/>
    <col min="8709" max="8709" width="8.28515625" style="866" bestFit="1" customWidth="1"/>
    <col min="8710" max="8710" width="13.42578125" style="866" bestFit="1" customWidth="1"/>
    <col min="8711" max="8711" width="34.28515625" style="866" customWidth="1"/>
    <col min="8712" max="8958" width="9.140625" style="866"/>
    <col min="8959" max="8959" width="27.28515625" style="866" customWidth="1"/>
    <col min="8960" max="8960" width="17" style="866" bestFit="1" customWidth="1"/>
    <col min="8961" max="8961" width="28.85546875" style="866" customWidth="1"/>
    <col min="8962" max="8962" width="18.140625" style="866" bestFit="1" customWidth="1"/>
    <col min="8963" max="8963" width="20.42578125" style="866" bestFit="1" customWidth="1"/>
    <col min="8964" max="8964" width="10.140625" style="866" bestFit="1" customWidth="1"/>
    <col min="8965" max="8965" width="8.28515625" style="866" bestFit="1" customWidth="1"/>
    <col min="8966" max="8966" width="13.42578125" style="866" bestFit="1" customWidth="1"/>
    <col min="8967" max="8967" width="34.28515625" style="866" customWidth="1"/>
    <col min="8968" max="9214" width="9.140625" style="866"/>
    <col min="9215" max="9215" width="27.28515625" style="866" customWidth="1"/>
    <col min="9216" max="9216" width="17" style="866" bestFit="1" customWidth="1"/>
    <col min="9217" max="9217" width="28.85546875" style="866" customWidth="1"/>
    <col min="9218" max="9218" width="18.140625" style="866" bestFit="1" customWidth="1"/>
    <col min="9219" max="9219" width="20.42578125" style="866" bestFit="1" customWidth="1"/>
    <col min="9220" max="9220" width="10.140625" style="866" bestFit="1" customWidth="1"/>
    <col min="9221" max="9221" width="8.28515625" style="866" bestFit="1" customWidth="1"/>
    <col min="9222" max="9222" width="13.42578125" style="866" bestFit="1" customWidth="1"/>
    <col min="9223" max="9223" width="34.28515625" style="866" customWidth="1"/>
    <col min="9224" max="9470" width="9.140625" style="866"/>
    <col min="9471" max="9471" width="27.28515625" style="866" customWidth="1"/>
    <col min="9472" max="9472" width="17" style="866" bestFit="1" customWidth="1"/>
    <col min="9473" max="9473" width="28.85546875" style="866" customWidth="1"/>
    <col min="9474" max="9474" width="18.140625" style="866" bestFit="1" customWidth="1"/>
    <col min="9475" max="9475" width="20.42578125" style="866" bestFit="1" customWidth="1"/>
    <col min="9476" max="9476" width="10.140625" style="866" bestFit="1" customWidth="1"/>
    <col min="9477" max="9477" width="8.28515625" style="866" bestFit="1" customWidth="1"/>
    <col min="9478" max="9478" width="13.42578125" style="866" bestFit="1" customWidth="1"/>
    <col min="9479" max="9479" width="34.28515625" style="866" customWidth="1"/>
    <col min="9480" max="9726" width="9.140625" style="866"/>
    <col min="9727" max="9727" width="27.28515625" style="866" customWidth="1"/>
    <col min="9728" max="9728" width="17" style="866" bestFit="1" customWidth="1"/>
    <col min="9729" max="9729" width="28.85546875" style="866" customWidth="1"/>
    <col min="9730" max="9730" width="18.140625" style="866" bestFit="1" customWidth="1"/>
    <col min="9731" max="9731" width="20.42578125" style="866" bestFit="1" customWidth="1"/>
    <col min="9732" max="9732" width="10.140625" style="866" bestFit="1" customWidth="1"/>
    <col min="9733" max="9733" width="8.28515625" style="866" bestFit="1" customWidth="1"/>
    <col min="9734" max="9734" width="13.42578125" style="866" bestFit="1" customWidth="1"/>
    <col min="9735" max="9735" width="34.28515625" style="866" customWidth="1"/>
    <col min="9736" max="9982" width="9.140625" style="866"/>
    <col min="9983" max="9983" width="27.28515625" style="866" customWidth="1"/>
    <col min="9984" max="9984" width="17" style="866" bestFit="1" customWidth="1"/>
    <col min="9985" max="9985" width="28.85546875" style="866" customWidth="1"/>
    <col min="9986" max="9986" width="18.140625" style="866" bestFit="1" customWidth="1"/>
    <col min="9987" max="9987" width="20.42578125" style="866" bestFit="1" customWidth="1"/>
    <col min="9988" max="9988" width="10.140625" style="866" bestFit="1" customWidth="1"/>
    <col min="9989" max="9989" width="8.28515625" style="866" bestFit="1" customWidth="1"/>
    <col min="9990" max="9990" width="13.42578125" style="866" bestFit="1" customWidth="1"/>
    <col min="9991" max="9991" width="34.28515625" style="866" customWidth="1"/>
    <col min="9992" max="10238" width="9.140625" style="866"/>
    <col min="10239" max="10239" width="27.28515625" style="866" customWidth="1"/>
    <col min="10240" max="10240" width="17" style="866" bestFit="1" customWidth="1"/>
    <col min="10241" max="10241" width="28.85546875" style="866" customWidth="1"/>
    <col min="10242" max="10242" width="18.140625" style="866" bestFit="1" customWidth="1"/>
    <col min="10243" max="10243" width="20.42578125" style="866" bestFit="1" customWidth="1"/>
    <col min="10244" max="10244" width="10.140625" style="866" bestFit="1" customWidth="1"/>
    <col min="10245" max="10245" width="8.28515625" style="866" bestFit="1" customWidth="1"/>
    <col min="10246" max="10246" width="13.42578125" style="866" bestFit="1" customWidth="1"/>
    <col min="10247" max="10247" width="34.28515625" style="866" customWidth="1"/>
    <col min="10248" max="10494" width="9.140625" style="866"/>
    <col min="10495" max="10495" width="27.28515625" style="866" customWidth="1"/>
    <col min="10496" max="10496" width="17" style="866" bestFit="1" customWidth="1"/>
    <col min="10497" max="10497" width="28.85546875" style="866" customWidth="1"/>
    <col min="10498" max="10498" width="18.140625" style="866" bestFit="1" customWidth="1"/>
    <col min="10499" max="10499" width="20.42578125" style="866" bestFit="1" customWidth="1"/>
    <col min="10500" max="10500" width="10.140625" style="866" bestFit="1" customWidth="1"/>
    <col min="10501" max="10501" width="8.28515625" style="866" bestFit="1" customWidth="1"/>
    <col min="10502" max="10502" width="13.42578125" style="866" bestFit="1" customWidth="1"/>
    <col min="10503" max="10503" width="34.28515625" style="866" customWidth="1"/>
    <col min="10504" max="10750" width="9.140625" style="866"/>
    <col min="10751" max="10751" width="27.28515625" style="866" customWidth="1"/>
    <col min="10752" max="10752" width="17" style="866" bestFit="1" customWidth="1"/>
    <col min="10753" max="10753" width="28.85546875" style="866" customWidth="1"/>
    <col min="10754" max="10754" width="18.140625" style="866" bestFit="1" customWidth="1"/>
    <col min="10755" max="10755" width="20.42578125" style="866" bestFit="1" customWidth="1"/>
    <col min="10756" max="10756" width="10.140625" style="866" bestFit="1" customWidth="1"/>
    <col min="10757" max="10757" width="8.28515625" style="866" bestFit="1" customWidth="1"/>
    <col min="10758" max="10758" width="13.42578125" style="866" bestFit="1" customWidth="1"/>
    <col min="10759" max="10759" width="34.28515625" style="866" customWidth="1"/>
    <col min="10760" max="11006" width="9.140625" style="866"/>
    <col min="11007" max="11007" width="27.28515625" style="866" customWidth="1"/>
    <col min="11008" max="11008" width="17" style="866" bestFit="1" customWidth="1"/>
    <col min="11009" max="11009" width="28.85546875" style="866" customWidth="1"/>
    <col min="11010" max="11010" width="18.140625" style="866" bestFit="1" customWidth="1"/>
    <col min="11011" max="11011" width="20.42578125" style="866" bestFit="1" customWidth="1"/>
    <col min="11012" max="11012" width="10.140625" style="866" bestFit="1" customWidth="1"/>
    <col min="11013" max="11013" width="8.28515625" style="866" bestFit="1" customWidth="1"/>
    <col min="11014" max="11014" width="13.42578125" style="866" bestFit="1" customWidth="1"/>
    <col min="11015" max="11015" width="34.28515625" style="866" customWidth="1"/>
    <col min="11016" max="11262" width="9.140625" style="866"/>
    <col min="11263" max="11263" width="27.28515625" style="866" customWidth="1"/>
    <col min="11264" max="11264" width="17" style="866" bestFit="1" customWidth="1"/>
    <col min="11265" max="11265" width="28.85546875" style="866" customWidth="1"/>
    <col min="11266" max="11266" width="18.140625" style="866" bestFit="1" customWidth="1"/>
    <col min="11267" max="11267" width="20.42578125" style="866" bestFit="1" customWidth="1"/>
    <col min="11268" max="11268" width="10.140625" style="866" bestFit="1" customWidth="1"/>
    <col min="11269" max="11269" width="8.28515625" style="866" bestFit="1" customWidth="1"/>
    <col min="11270" max="11270" width="13.42578125" style="866" bestFit="1" customWidth="1"/>
    <col min="11271" max="11271" width="34.28515625" style="866" customWidth="1"/>
    <col min="11272" max="11518" width="9.140625" style="866"/>
    <col min="11519" max="11519" width="27.28515625" style="866" customWidth="1"/>
    <col min="11520" max="11520" width="17" style="866" bestFit="1" customWidth="1"/>
    <col min="11521" max="11521" width="28.85546875" style="866" customWidth="1"/>
    <col min="11522" max="11522" width="18.140625" style="866" bestFit="1" customWidth="1"/>
    <col min="11523" max="11523" width="20.42578125" style="866" bestFit="1" customWidth="1"/>
    <col min="11524" max="11524" width="10.140625" style="866" bestFit="1" customWidth="1"/>
    <col min="11525" max="11525" width="8.28515625" style="866" bestFit="1" customWidth="1"/>
    <col min="11526" max="11526" width="13.42578125" style="866" bestFit="1" customWidth="1"/>
    <col min="11527" max="11527" width="34.28515625" style="866" customWidth="1"/>
    <col min="11528" max="11774" width="9.140625" style="866"/>
    <col min="11775" max="11775" width="27.28515625" style="866" customWidth="1"/>
    <col min="11776" max="11776" width="17" style="866" bestFit="1" customWidth="1"/>
    <col min="11777" max="11777" width="28.85546875" style="866" customWidth="1"/>
    <col min="11778" max="11778" width="18.140625" style="866" bestFit="1" customWidth="1"/>
    <col min="11779" max="11779" width="20.42578125" style="866" bestFit="1" customWidth="1"/>
    <col min="11780" max="11780" width="10.140625" style="866" bestFit="1" customWidth="1"/>
    <col min="11781" max="11781" width="8.28515625" style="866" bestFit="1" customWidth="1"/>
    <col min="11782" max="11782" width="13.42578125" style="866" bestFit="1" customWidth="1"/>
    <col min="11783" max="11783" width="34.28515625" style="866" customWidth="1"/>
    <col min="11784" max="12030" width="9.140625" style="866"/>
    <col min="12031" max="12031" width="27.28515625" style="866" customWidth="1"/>
    <col min="12032" max="12032" width="17" style="866" bestFit="1" customWidth="1"/>
    <col min="12033" max="12033" width="28.85546875" style="866" customWidth="1"/>
    <col min="12034" max="12034" width="18.140625" style="866" bestFit="1" customWidth="1"/>
    <col min="12035" max="12035" width="20.42578125" style="866" bestFit="1" customWidth="1"/>
    <col min="12036" max="12036" width="10.140625" style="866" bestFit="1" customWidth="1"/>
    <col min="12037" max="12037" width="8.28515625" style="866" bestFit="1" customWidth="1"/>
    <col min="12038" max="12038" width="13.42578125" style="866" bestFit="1" customWidth="1"/>
    <col min="12039" max="12039" width="34.28515625" style="866" customWidth="1"/>
    <col min="12040" max="12286" width="9.140625" style="866"/>
    <col min="12287" max="12287" width="27.28515625" style="866" customWidth="1"/>
    <col min="12288" max="12288" width="17" style="866" bestFit="1" customWidth="1"/>
    <col min="12289" max="12289" width="28.85546875" style="866" customWidth="1"/>
    <col min="12290" max="12290" width="18.140625" style="866" bestFit="1" customWidth="1"/>
    <col min="12291" max="12291" width="20.42578125" style="866" bestFit="1" customWidth="1"/>
    <col min="12292" max="12292" width="10.140625" style="866" bestFit="1" customWidth="1"/>
    <col min="12293" max="12293" width="8.28515625" style="866" bestFit="1" customWidth="1"/>
    <col min="12294" max="12294" width="13.42578125" style="866" bestFit="1" customWidth="1"/>
    <col min="12295" max="12295" width="34.28515625" style="866" customWidth="1"/>
    <col min="12296" max="12542" width="9.140625" style="866"/>
    <col min="12543" max="12543" width="27.28515625" style="866" customWidth="1"/>
    <col min="12544" max="12544" width="17" style="866" bestFit="1" customWidth="1"/>
    <col min="12545" max="12545" width="28.85546875" style="866" customWidth="1"/>
    <col min="12546" max="12546" width="18.140625" style="866" bestFit="1" customWidth="1"/>
    <col min="12547" max="12547" width="20.42578125" style="866" bestFit="1" customWidth="1"/>
    <col min="12548" max="12548" width="10.140625" style="866" bestFit="1" customWidth="1"/>
    <col min="12549" max="12549" width="8.28515625" style="866" bestFit="1" customWidth="1"/>
    <col min="12550" max="12550" width="13.42578125" style="866" bestFit="1" customWidth="1"/>
    <col min="12551" max="12551" width="34.28515625" style="866" customWidth="1"/>
    <col min="12552" max="12798" width="9.140625" style="866"/>
    <col min="12799" max="12799" width="27.28515625" style="866" customWidth="1"/>
    <col min="12800" max="12800" width="17" style="866" bestFit="1" customWidth="1"/>
    <col min="12801" max="12801" width="28.85546875" style="866" customWidth="1"/>
    <col min="12802" max="12802" width="18.140625" style="866" bestFit="1" customWidth="1"/>
    <col min="12803" max="12803" width="20.42578125" style="866" bestFit="1" customWidth="1"/>
    <col min="12804" max="12804" width="10.140625" style="866" bestFit="1" customWidth="1"/>
    <col min="12805" max="12805" width="8.28515625" style="866" bestFit="1" customWidth="1"/>
    <col min="12806" max="12806" width="13.42578125" style="866" bestFit="1" customWidth="1"/>
    <col min="12807" max="12807" width="34.28515625" style="866" customWidth="1"/>
    <col min="12808" max="13054" width="9.140625" style="866"/>
    <col min="13055" max="13055" width="27.28515625" style="866" customWidth="1"/>
    <col min="13056" max="13056" width="17" style="866" bestFit="1" customWidth="1"/>
    <col min="13057" max="13057" width="28.85546875" style="866" customWidth="1"/>
    <col min="13058" max="13058" width="18.140625" style="866" bestFit="1" customWidth="1"/>
    <col min="13059" max="13059" width="20.42578125" style="866" bestFit="1" customWidth="1"/>
    <col min="13060" max="13060" width="10.140625" style="866" bestFit="1" customWidth="1"/>
    <col min="13061" max="13061" width="8.28515625" style="866" bestFit="1" customWidth="1"/>
    <col min="13062" max="13062" width="13.42578125" style="866" bestFit="1" customWidth="1"/>
    <col min="13063" max="13063" width="34.28515625" style="866" customWidth="1"/>
    <col min="13064" max="13310" width="9.140625" style="866"/>
    <col min="13311" max="13311" width="27.28515625" style="866" customWidth="1"/>
    <col min="13312" max="13312" width="17" style="866" bestFit="1" customWidth="1"/>
    <col min="13313" max="13313" width="28.85546875" style="866" customWidth="1"/>
    <col min="13314" max="13314" width="18.140625" style="866" bestFit="1" customWidth="1"/>
    <col min="13315" max="13315" width="20.42578125" style="866" bestFit="1" customWidth="1"/>
    <col min="13316" max="13316" width="10.140625" style="866" bestFit="1" customWidth="1"/>
    <col min="13317" max="13317" width="8.28515625" style="866" bestFit="1" customWidth="1"/>
    <col min="13318" max="13318" width="13.42578125" style="866" bestFit="1" customWidth="1"/>
    <col min="13319" max="13319" width="34.28515625" style="866" customWidth="1"/>
    <col min="13320" max="13566" width="9.140625" style="866"/>
    <col min="13567" max="13567" width="27.28515625" style="866" customWidth="1"/>
    <col min="13568" max="13568" width="17" style="866" bestFit="1" customWidth="1"/>
    <col min="13569" max="13569" width="28.85546875" style="866" customWidth="1"/>
    <col min="13570" max="13570" width="18.140625" style="866" bestFit="1" customWidth="1"/>
    <col min="13571" max="13571" width="20.42578125" style="866" bestFit="1" customWidth="1"/>
    <col min="13572" max="13572" width="10.140625" style="866" bestFit="1" customWidth="1"/>
    <col min="13573" max="13573" width="8.28515625" style="866" bestFit="1" customWidth="1"/>
    <col min="13574" max="13574" width="13.42578125" style="866" bestFit="1" customWidth="1"/>
    <col min="13575" max="13575" width="34.28515625" style="866" customWidth="1"/>
    <col min="13576" max="13822" width="9.140625" style="866"/>
    <col min="13823" max="13823" width="27.28515625" style="866" customWidth="1"/>
    <col min="13824" max="13824" width="17" style="866" bestFit="1" customWidth="1"/>
    <col min="13825" max="13825" width="28.85546875" style="866" customWidth="1"/>
    <col min="13826" max="13826" width="18.140625" style="866" bestFit="1" customWidth="1"/>
    <col min="13827" max="13827" width="20.42578125" style="866" bestFit="1" customWidth="1"/>
    <col min="13828" max="13828" width="10.140625" style="866" bestFit="1" customWidth="1"/>
    <col min="13829" max="13829" width="8.28515625" style="866" bestFit="1" customWidth="1"/>
    <col min="13830" max="13830" width="13.42578125" style="866" bestFit="1" customWidth="1"/>
    <col min="13831" max="13831" width="34.28515625" style="866" customWidth="1"/>
    <col min="13832" max="14078" width="9.140625" style="866"/>
    <col min="14079" max="14079" width="27.28515625" style="866" customWidth="1"/>
    <col min="14080" max="14080" width="17" style="866" bestFit="1" customWidth="1"/>
    <col min="14081" max="14081" width="28.85546875" style="866" customWidth="1"/>
    <col min="14082" max="14082" width="18.140625" style="866" bestFit="1" customWidth="1"/>
    <col min="14083" max="14083" width="20.42578125" style="866" bestFit="1" customWidth="1"/>
    <col min="14084" max="14084" width="10.140625" style="866" bestFit="1" customWidth="1"/>
    <col min="14085" max="14085" width="8.28515625" style="866" bestFit="1" customWidth="1"/>
    <col min="14086" max="14086" width="13.42578125" style="866" bestFit="1" customWidth="1"/>
    <col min="14087" max="14087" width="34.28515625" style="866" customWidth="1"/>
    <col min="14088" max="14334" width="9.140625" style="866"/>
    <col min="14335" max="14335" width="27.28515625" style="866" customWidth="1"/>
    <col min="14336" max="14336" width="17" style="866" bestFit="1" customWidth="1"/>
    <col min="14337" max="14337" width="28.85546875" style="866" customWidth="1"/>
    <col min="14338" max="14338" width="18.140625" style="866" bestFit="1" customWidth="1"/>
    <col min="14339" max="14339" width="20.42578125" style="866" bestFit="1" customWidth="1"/>
    <col min="14340" max="14340" width="10.140625" style="866" bestFit="1" customWidth="1"/>
    <col min="14341" max="14341" width="8.28515625" style="866" bestFit="1" customWidth="1"/>
    <col min="14342" max="14342" width="13.42578125" style="866" bestFit="1" customWidth="1"/>
    <col min="14343" max="14343" width="34.28515625" style="866" customWidth="1"/>
    <col min="14344" max="14590" width="9.140625" style="866"/>
    <col min="14591" max="14591" width="27.28515625" style="866" customWidth="1"/>
    <col min="14592" max="14592" width="17" style="866" bestFit="1" customWidth="1"/>
    <col min="14593" max="14593" width="28.85546875" style="866" customWidth="1"/>
    <col min="14594" max="14594" width="18.140625" style="866" bestFit="1" customWidth="1"/>
    <col min="14595" max="14595" width="20.42578125" style="866" bestFit="1" customWidth="1"/>
    <col min="14596" max="14596" width="10.140625" style="866" bestFit="1" customWidth="1"/>
    <col min="14597" max="14597" width="8.28515625" style="866" bestFit="1" customWidth="1"/>
    <col min="14598" max="14598" width="13.42578125" style="866" bestFit="1" customWidth="1"/>
    <col min="14599" max="14599" width="34.28515625" style="866" customWidth="1"/>
    <col min="14600" max="14846" width="9.140625" style="866"/>
    <col min="14847" max="14847" width="27.28515625" style="866" customWidth="1"/>
    <col min="14848" max="14848" width="17" style="866" bestFit="1" customWidth="1"/>
    <col min="14849" max="14849" width="28.85546875" style="866" customWidth="1"/>
    <col min="14850" max="14850" width="18.140625" style="866" bestFit="1" customWidth="1"/>
    <col min="14851" max="14851" width="20.42578125" style="866" bestFit="1" customWidth="1"/>
    <col min="14852" max="14852" width="10.140625" style="866" bestFit="1" customWidth="1"/>
    <col min="14853" max="14853" width="8.28515625" style="866" bestFit="1" customWidth="1"/>
    <col min="14854" max="14854" width="13.42578125" style="866" bestFit="1" customWidth="1"/>
    <col min="14855" max="14855" width="34.28515625" style="866" customWidth="1"/>
    <col min="14856" max="15102" width="9.140625" style="866"/>
    <col min="15103" max="15103" width="27.28515625" style="866" customWidth="1"/>
    <col min="15104" max="15104" width="17" style="866" bestFit="1" customWidth="1"/>
    <col min="15105" max="15105" width="28.85546875" style="866" customWidth="1"/>
    <col min="15106" max="15106" width="18.140625" style="866" bestFit="1" customWidth="1"/>
    <col min="15107" max="15107" width="20.42578125" style="866" bestFit="1" customWidth="1"/>
    <col min="15108" max="15108" width="10.140625" style="866" bestFit="1" customWidth="1"/>
    <col min="15109" max="15109" width="8.28515625" style="866" bestFit="1" customWidth="1"/>
    <col min="15110" max="15110" width="13.42578125" style="866" bestFit="1" customWidth="1"/>
    <col min="15111" max="15111" width="34.28515625" style="866" customWidth="1"/>
    <col min="15112" max="15358" width="9.140625" style="866"/>
    <col min="15359" max="15359" width="27.28515625" style="866" customWidth="1"/>
    <col min="15360" max="15360" width="17" style="866" bestFit="1" customWidth="1"/>
    <col min="15361" max="15361" width="28.85546875" style="866" customWidth="1"/>
    <col min="15362" max="15362" width="18.140625" style="866" bestFit="1" customWidth="1"/>
    <col min="15363" max="15363" width="20.42578125" style="866" bestFit="1" customWidth="1"/>
    <col min="15364" max="15364" width="10.140625" style="866" bestFit="1" customWidth="1"/>
    <col min="15365" max="15365" width="8.28515625" style="866" bestFit="1" customWidth="1"/>
    <col min="15366" max="15366" width="13.42578125" style="866" bestFit="1" customWidth="1"/>
    <col min="15367" max="15367" width="34.28515625" style="866" customWidth="1"/>
    <col min="15368" max="15614" width="9.140625" style="866"/>
    <col min="15615" max="15615" width="27.28515625" style="866" customWidth="1"/>
    <col min="15616" max="15616" width="17" style="866" bestFit="1" customWidth="1"/>
    <col min="15617" max="15617" width="28.85546875" style="866" customWidth="1"/>
    <col min="15618" max="15618" width="18.140625" style="866" bestFit="1" customWidth="1"/>
    <col min="15619" max="15619" width="20.42578125" style="866" bestFit="1" customWidth="1"/>
    <col min="15620" max="15620" width="10.140625" style="866" bestFit="1" customWidth="1"/>
    <col min="15621" max="15621" width="8.28515625" style="866" bestFit="1" customWidth="1"/>
    <col min="15622" max="15622" width="13.42578125" style="866" bestFit="1" customWidth="1"/>
    <col min="15623" max="15623" width="34.28515625" style="866" customWidth="1"/>
    <col min="15624" max="15870" width="9.140625" style="866"/>
    <col min="15871" max="15871" width="27.28515625" style="866" customWidth="1"/>
    <col min="15872" max="15872" width="17" style="866" bestFit="1" customWidth="1"/>
    <col min="15873" max="15873" width="28.85546875" style="866" customWidth="1"/>
    <col min="15874" max="15874" width="18.140625" style="866" bestFit="1" customWidth="1"/>
    <col min="15875" max="15875" width="20.42578125" style="866" bestFit="1" customWidth="1"/>
    <col min="15876" max="15876" width="10.140625" style="866" bestFit="1" customWidth="1"/>
    <col min="15877" max="15877" width="8.28515625" style="866" bestFit="1" customWidth="1"/>
    <col min="15878" max="15878" width="13.42578125" style="866" bestFit="1" customWidth="1"/>
    <col min="15879" max="15879" width="34.28515625" style="866" customWidth="1"/>
    <col min="15880" max="16126" width="9.140625" style="866"/>
    <col min="16127" max="16127" width="27.28515625" style="866" customWidth="1"/>
    <col min="16128" max="16128" width="17" style="866" bestFit="1" customWidth="1"/>
    <col min="16129" max="16129" width="28.85546875" style="866" customWidth="1"/>
    <col min="16130" max="16130" width="18.140625" style="866" bestFit="1" customWidth="1"/>
    <col min="16131" max="16131" width="20.42578125" style="866" bestFit="1" customWidth="1"/>
    <col min="16132" max="16132" width="10.140625" style="866" bestFit="1" customWidth="1"/>
    <col min="16133" max="16133" width="8.28515625" style="866" bestFit="1" customWidth="1"/>
    <col min="16134" max="16134" width="13.42578125" style="866" bestFit="1" customWidth="1"/>
    <col min="16135" max="16135" width="34.28515625" style="866" customWidth="1"/>
    <col min="16136" max="16384" width="9.140625" style="866"/>
  </cols>
  <sheetData>
    <row r="1" spans="1:15" s="869" customFormat="1" ht="28.5" thickBot="1" x14ac:dyDescent="0.45">
      <c r="A1" s="627" t="s">
        <v>1035</v>
      </c>
      <c r="C1" s="868"/>
      <c r="D1" s="868"/>
      <c r="E1" s="868"/>
      <c r="F1" s="868"/>
      <c r="G1" s="868"/>
      <c r="H1" s="868"/>
    </row>
    <row r="2" spans="1:15" s="640" customFormat="1" ht="84" thickTop="1" thickBot="1" x14ac:dyDescent="0.3">
      <c r="A2" s="622" t="s">
        <v>657</v>
      </c>
      <c r="B2" s="679" t="s">
        <v>1128</v>
      </c>
      <c r="C2" s="679" t="s">
        <v>3</v>
      </c>
      <c r="D2" s="623" t="s">
        <v>1129</v>
      </c>
      <c r="E2" s="679" t="s">
        <v>808</v>
      </c>
      <c r="F2" s="623" t="s">
        <v>758</v>
      </c>
      <c r="G2" s="657" t="s">
        <v>2</v>
      </c>
      <c r="H2" s="654" t="s">
        <v>738</v>
      </c>
      <c r="I2" s="654" t="s">
        <v>4</v>
      </c>
      <c r="J2" s="621" t="s">
        <v>762</v>
      </c>
      <c r="K2" s="625" t="s">
        <v>1024</v>
      </c>
      <c r="L2" s="625" t="s">
        <v>1025</v>
      </c>
      <c r="M2" s="654" t="s">
        <v>705</v>
      </c>
      <c r="N2" s="869"/>
      <c r="O2" s="869"/>
    </row>
    <row r="3" spans="1:15" s="640" customFormat="1" ht="18" customHeight="1" thickTop="1" x14ac:dyDescent="0.25">
      <c r="A3" s="870" t="s">
        <v>1026</v>
      </c>
      <c r="B3" s="871" t="s">
        <v>1026</v>
      </c>
      <c r="C3" s="1060">
        <v>8500</v>
      </c>
      <c r="D3" s="1037">
        <v>6819.6</v>
      </c>
      <c r="E3" s="1076">
        <f t="shared" ref="E3:E10" si="0">C3-D3</f>
        <v>1680.3999999999996</v>
      </c>
      <c r="F3" s="604"/>
      <c r="G3" s="872" t="s">
        <v>56</v>
      </c>
      <c r="H3" s="616"/>
      <c r="I3" s="986" t="s">
        <v>652</v>
      </c>
      <c r="J3" s="989">
        <v>4</v>
      </c>
      <c r="K3" s="873">
        <v>15</v>
      </c>
      <c r="L3" s="891">
        <v>15</v>
      </c>
      <c r="M3" s="983" t="s">
        <v>784</v>
      </c>
    </row>
    <row r="4" spans="1:15" s="640" customFormat="1" x14ac:dyDescent="0.25">
      <c r="A4" s="874" t="s">
        <v>1027</v>
      </c>
      <c r="B4" s="875" t="s">
        <v>1027</v>
      </c>
      <c r="C4" s="1063">
        <v>8500</v>
      </c>
      <c r="D4" s="1055">
        <v>6831.6900000000005</v>
      </c>
      <c r="E4" s="1077">
        <f t="shared" si="0"/>
        <v>1668.3099999999995</v>
      </c>
      <c r="F4" s="606"/>
      <c r="G4" s="876">
        <f>F3-F4</f>
        <v>0</v>
      </c>
      <c r="H4" s="691"/>
      <c r="I4" s="987"/>
      <c r="J4" s="990"/>
      <c r="K4" s="975">
        <v>9</v>
      </c>
      <c r="L4" s="892"/>
      <c r="M4" s="984"/>
    </row>
    <row r="5" spans="1:15" s="640" customFormat="1" x14ac:dyDescent="0.25">
      <c r="A5" s="874" t="s">
        <v>1028</v>
      </c>
      <c r="B5" s="875" t="s">
        <v>1028</v>
      </c>
      <c r="C5" s="1063">
        <v>8500</v>
      </c>
      <c r="D5" s="1055">
        <v>6807.65</v>
      </c>
      <c r="E5" s="1077">
        <f t="shared" si="0"/>
        <v>1692.3500000000004</v>
      </c>
      <c r="F5" s="606"/>
      <c r="G5" s="876">
        <f>F3-F5</f>
        <v>0</v>
      </c>
      <c r="H5" s="691"/>
      <c r="I5" s="987"/>
      <c r="J5" s="990"/>
      <c r="K5" s="984"/>
      <c r="L5" s="892"/>
      <c r="M5" s="984"/>
      <c r="O5" s="641"/>
    </row>
    <row r="6" spans="1:15" s="640" customFormat="1" x14ac:dyDescent="0.25">
      <c r="A6" s="874" t="s">
        <v>1029</v>
      </c>
      <c r="B6" s="875" t="s">
        <v>1029</v>
      </c>
      <c r="C6" s="1063">
        <v>8500</v>
      </c>
      <c r="D6" s="1055">
        <v>6850.96</v>
      </c>
      <c r="E6" s="1077">
        <f t="shared" si="0"/>
        <v>1649.04</v>
      </c>
      <c r="F6" s="606"/>
      <c r="G6" s="876">
        <f>F4-F6</f>
        <v>0</v>
      </c>
      <c r="H6" s="691"/>
      <c r="I6" s="987"/>
      <c r="J6" s="990"/>
      <c r="K6" s="984"/>
      <c r="L6" s="892"/>
      <c r="M6" s="984"/>
    </row>
    <row r="7" spans="1:15" s="640" customFormat="1" ht="17.25" thickBot="1" x14ac:dyDescent="0.3">
      <c r="A7" s="877" t="s">
        <v>1030</v>
      </c>
      <c r="B7" s="878" t="s">
        <v>1030</v>
      </c>
      <c r="C7" s="1068">
        <v>8500</v>
      </c>
      <c r="D7" s="1038">
        <v>6881.02</v>
      </c>
      <c r="E7" s="1078">
        <f t="shared" si="0"/>
        <v>1618.9799999999996</v>
      </c>
      <c r="F7" s="611"/>
      <c r="G7" s="652">
        <f>F3-F7</f>
        <v>0</v>
      </c>
      <c r="H7" s="612"/>
      <c r="I7" s="988"/>
      <c r="J7" s="990"/>
      <c r="K7" s="984"/>
      <c r="L7" s="892"/>
      <c r="M7" s="984"/>
      <c r="N7" s="642"/>
    </row>
    <row r="8" spans="1:15" s="640" customFormat="1" ht="17.25" thickTop="1" x14ac:dyDescent="0.25">
      <c r="A8" s="879" t="s">
        <v>1031</v>
      </c>
      <c r="B8" s="880" t="s">
        <v>1031</v>
      </c>
      <c r="C8" s="1079">
        <v>8500</v>
      </c>
      <c r="D8" s="1080">
        <v>5883.78</v>
      </c>
      <c r="E8" s="1081">
        <f t="shared" si="0"/>
        <v>2616.2200000000003</v>
      </c>
      <c r="F8" s="613"/>
      <c r="G8" s="653"/>
      <c r="H8" s="615"/>
      <c r="I8" s="881"/>
      <c r="J8" s="990"/>
      <c r="K8" s="984"/>
      <c r="L8" s="892"/>
      <c r="M8" s="984"/>
      <c r="N8" s="642"/>
    </row>
    <row r="9" spans="1:15" s="640" customFormat="1" x14ac:dyDescent="0.25">
      <c r="A9" s="879" t="s">
        <v>1032</v>
      </c>
      <c r="B9" s="880" t="s">
        <v>1036</v>
      </c>
      <c r="C9" s="1079">
        <v>8500</v>
      </c>
      <c r="D9" s="1080">
        <v>5581.0499999999993</v>
      </c>
      <c r="E9" s="1081">
        <f t="shared" si="0"/>
        <v>2918.9500000000007</v>
      </c>
      <c r="F9" s="613"/>
      <c r="G9" s="653"/>
      <c r="H9" s="615"/>
      <c r="I9" s="881"/>
      <c r="J9" s="990"/>
      <c r="K9" s="984"/>
      <c r="L9" s="892"/>
      <c r="M9" s="984"/>
    </row>
    <row r="10" spans="1:15" s="640" customFormat="1" ht="17.25" thickBot="1" x14ac:dyDescent="0.3">
      <c r="A10" s="877" t="s">
        <v>1034</v>
      </c>
      <c r="B10" s="878" t="s">
        <v>1037</v>
      </c>
      <c r="C10" s="1068">
        <v>8500</v>
      </c>
      <c r="D10" s="1038">
        <v>6066.3600000000006</v>
      </c>
      <c r="E10" s="1078">
        <f t="shared" si="0"/>
        <v>2433.6399999999994</v>
      </c>
      <c r="F10" s="611"/>
      <c r="G10" s="652"/>
      <c r="H10" s="612"/>
      <c r="I10" s="882"/>
      <c r="J10" s="991"/>
      <c r="K10" s="985"/>
      <c r="L10" s="893"/>
      <c r="M10" s="985"/>
      <c r="N10" s="869"/>
      <c r="O10" s="869"/>
    </row>
    <row r="11" spans="1:15" s="640" customFormat="1" ht="17.25" thickTop="1" x14ac:dyDescent="0.25">
      <c r="A11" s="867"/>
      <c r="B11" s="866"/>
      <c r="C11" s="867"/>
      <c r="D11" s="867"/>
      <c r="E11" s="867"/>
      <c r="F11" s="867"/>
      <c r="G11" s="867"/>
      <c r="H11" s="867"/>
      <c r="I11" s="866"/>
      <c r="J11" s="866"/>
      <c r="K11" s="866"/>
      <c r="L11" s="866"/>
      <c r="M11" s="866"/>
    </row>
    <row r="12" spans="1:15" s="640" customFormat="1" x14ac:dyDescent="0.25">
      <c r="A12" s="867"/>
      <c r="B12" s="866"/>
      <c r="C12" s="867"/>
      <c r="D12" s="867"/>
      <c r="E12" s="867"/>
      <c r="F12" s="867"/>
      <c r="G12" s="867"/>
      <c r="H12" s="867"/>
      <c r="I12" s="866"/>
      <c r="J12" s="866"/>
      <c r="K12" s="866"/>
      <c r="L12" s="866"/>
      <c r="M12" s="866"/>
    </row>
    <row r="13" spans="1:15" s="640" customFormat="1" x14ac:dyDescent="0.25">
      <c r="A13" s="867"/>
      <c r="B13" s="866"/>
      <c r="C13" s="867"/>
      <c r="D13" s="867"/>
      <c r="E13" s="867"/>
      <c r="F13" s="867"/>
      <c r="G13" s="867"/>
      <c r="H13" s="867"/>
      <c r="I13" s="866"/>
      <c r="J13" s="866"/>
      <c r="K13" s="866"/>
      <c r="L13" s="866"/>
      <c r="M13" s="866"/>
      <c r="O13" s="641"/>
    </row>
    <row r="14" spans="1:15" s="640" customFormat="1" x14ac:dyDescent="0.25">
      <c r="A14" s="867"/>
      <c r="B14" s="866"/>
      <c r="C14" s="867"/>
      <c r="D14" s="867"/>
      <c r="E14" s="867"/>
      <c r="F14" s="867"/>
      <c r="G14" s="867"/>
      <c r="H14" s="867"/>
      <c r="I14" s="866"/>
      <c r="J14" s="866"/>
      <c r="K14" s="866"/>
      <c r="L14" s="866"/>
      <c r="M14" s="866"/>
    </row>
    <row r="15" spans="1:15" s="640" customFormat="1" x14ac:dyDescent="0.25">
      <c r="A15" s="867"/>
      <c r="B15" s="866"/>
      <c r="C15" s="867"/>
      <c r="D15" s="867"/>
      <c r="E15" s="867"/>
      <c r="F15" s="867"/>
      <c r="G15" s="867"/>
      <c r="H15" s="867"/>
      <c r="I15" s="866"/>
      <c r="J15" s="866"/>
      <c r="K15" s="866"/>
      <c r="L15" s="866"/>
      <c r="M15" s="866"/>
      <c r="N15" s="642"/>
    </row>
    <row r="16" spans="1:15" s="640" customFormat="1" x14ac:dyDescent="0.25">
      <c r="A16" s="867"/>
      <c r="B16" s="866"/>
      <c r="C16" s="867"/>
      <c r="D16" s="867"/>
      <c r="E16" s="867"/>
      <c r="F16" s="867"/>
      <c r="G16" s="867"/>
      <c r="H16" s="867"/>
      <c r="I16" s="866"/>
      <c r="J16" s="866"/>
      <c r="K16" s="866"/>
      <c r="L16" s="866"/>
      <c r="M16" s="866"/>
      <c r="N16" s="642"/>
    </row>
    <row r="17" spans="1:15" s="640" customFormat="1" x14ac:dyDescent="0.25">
      <c r="A17" s="867"/>
      <c r="B17" s="866"/>
      <c r="C17" s="867"/>
      <c r="D17" s="867"/>
      <c r="E17" s="867"/>
      <c r="F17" s="867"/>
      <c r="G17" s="867"/>
      <c r="H17" s="867"/>
      <c r="I17" s="866"/>
      <c r="J17" s="866"/>
      <c r="K17" s="866"/>
      <c r="L17" s="866"/>
      <c r="M17" s="866"/>
    </row>
    <row r="18" spans="1:15" s="640" customFormat="1" x14ac:dyDescent="0.25">
      <c r="A18" s="867"/>
      <c r="B18" s="866"/>
      <c r="C18" s="867"/>
      <c r="D18" s="867"/>
      <c r="E18" s="867"/>
      <c r="F18" s="867"/>
      <c r="G18" s="867"/>
      <c r="H18" s="867"/>
      <c r="I18" s="866"/>
      <c r="J18" s="866"/>
      <c r="K18" s="866"/>
      <c r="L18" s="866"/>
      <c r="M18" s="866"/>
    </row>
    <row r="19" spans="1:15" s="640" customFormat="1" x14ac:dyDescent="0.25">
      <c r="A19" s="867"/>
      <c r="B19" s="866"/>
      <c r="C19" s="867"/>
      <c r="D19" s="867"/>
      <c r="E19" s="867"/>
      <c r="F19" s="867"/>
      <c r="G19" s="867"/>
      <c r="H19" s="867"/>
      <c r="I19" s="866"/>
      <c r="J19" s="866"/>
      <c r="K19" s="866"/>
      <c r="L19" s="866"/>
      <c r="M19" s="866"/>
    </row>
    <row r="20" spans="1:15" s="869" customFormat="1" x14ac:dyDescent="0.25">
      <c r="A20" s="867"/>
      <c r="B20" s="866"/>
      <c r="C20" s="867"/>
      <c r="D20" s="867"/>
      <c r="E20" s="867"/>
      <c r="F20" s="867"/>
      <c r="G20" s="867"/>
      <c r="H20" s="867"/>
      <c r="I20" s="866"/>
      <c r="J20" s="866"/>
      <c r="K20" s="866"/>
      <c r="L20" s="866"/>
      <c r="M20" s="866"/>
      <c r="N20" s="640"/>
      <c r="O20" s="640"/>
    </row>
    <row r="21" spans="1:15" s="640" customFormat="1" x14ac:dyDescent="0.25">
      <c r="A21" s="867"/>
      <c r="B21" s="866"/>
      <c r="C21" s="867"/>
      <c r="D21" s="867"/>
      <c r="E21" s="867"/>
      <c r="F21" s="867"/>
      <c r="G21" s="867"/>
      <c r="H21" s="867"/>
      <c r="I21" s="866"/>
      <c r="J21" s="866"/>
      <c r="K21" s="866"/>
      <c r="L21" s="866"/>
      <c r="M21" s="866"/>
    </row>
    <row r="22" spans="1:15" s="640" customFormat="1" x14ac:dyDescent="0.25">
      <c r="A22" s="867"/>
      <c r="B22" s="866"/>
      <c r="C22" s="867"/>
      <c r="D22" s="867"/>
      <c r="E22" s="867"/>
      <c r="F22" s="867"/>
      <c r="G22" s="867"/>
      <c r="H22" s="867"/>
      <c r="I22" s="866"/>
      <c r="J22" s="866"/>
      <c r="K22" s="866"/>
      <c r="L22" s="866"/>
      <c r="M22" s="866"/>
    </row>
    <row r="23" spans="1:15" s="640" customFormat="1" x14ac:dyDescent="0.25">
      <c r="A23" s="867"/>
      <c r="B23" s="866"/>
      <c r="C23" s="867"/>
      <c r="D23" s="867"/>
      <c r="E23" s="867"/>
      <c r="F23" s="867"/>
      <c r="G23" s="867"/>
      <c r="H23" s="867"/>
      <c r="I23" s="866"/>
      <c r="J23" s="866"/>
      <c r="K23" s="866"/>
      <c r="L23" s="866"/>
      <c r="M23" s="866"/>
      <c r="N23" s="866"/>
      <c r="O23" s="866"/>
    </row>
    <row r="24" spans="1:15" s="640" customFormat="1" x14ac:dyDescent="0.25">
      <c r="A24" s="867"/>
      <c r="B24" s="866"/>
      <c r="C24" s="867"/>
      <c r="D24" s="867"/>
      <c r="E24" s="867"/>
      <c r="F24" s="867"/>
      <c r="G24" s="867"/>
      <c r="H24" s="867"/>
      <c r="I24" s="866"/>
      <c r="J24" s="866"/>
      <c r="K24" s="866"/>
      <c r="L24" s="866"/>
      <c r="M24" s="866"/>
      <c r="N24" s="866"/>
      <c r="O24" s="866"/>
    </row>
    <row r="25" spans="1:15" s="640" customFormat="1" x14ac:dyDescent="0.25">
      <c r="A25" s="867"/>
      <c r="B25" s="866"/>
      <c r="C25" s="867"/>
      <c r="D25" s="867"/>
      <c r="E25" s="867"/>
      <c r="F25" s="867"/>
      <c r="G25" s="867"/>
      <c r="H25" s="867"/>
      <c r="I25" s="866"/>
      <c r="J25" s="866"/>
      <c r="K25" s="866"/>
      <c r="L25" s="866"/>
      <c r="M25" s="866"/>
      <c r="N25" s="866"/>
      <c r="O25" s="866"/>
    </row>
    <row r="26" spans="1:15" s="640" customFormat="1" x14ac:dyDescent="0.25">
      <c r="A26" s="867"/>
      <c r="B26" s="866"/>
      <c r="C26" s="867"/>
      <c r="D26" s="867"/>
      <c r="E26" s="867"/>
      <c r="F26" s="867"/>
      <c r="G26" s="867"/>
      <c r="H26" s="867"/>
      <c r="I26" s="866"/>
      <c r="J26" s="866"/>
      <c r="K26" s="866"/>
      <c r="L26" s="866"/>
      <c r="M26" s="866"/>
      <c r="N26" s="866"/>
      <c r="O26" s="866"/>
    </row>
    <row r="27" spans="1:15" s="640" customFormat="1" x14ac:dyDescent="0.25">
      <c r="A27" s="867"/>
      <c r="B27" s="866"/>
      <c r="C27" s="867"/>
      <c r="D27" s="867"/>
      <c r="E27" s="867"/>
      <c r="F27" s="867"/>
      <c r="G27" s="867"/>
      <c r="H27" s="867"/>
      <c r="I27" s="866"/>
      <c r="J27" s="866"/>
      <c r="K27" s="866"/>
      <c r="L27" s="866"/>
      <c r="M27" s="866"/>
      <c r="N27" s="866"/>
      <c r="O27" s="866"/>
    </row>
    <row r="28" spans="1:15" s="640" customFormat="1" x14ac:dyDescent="0.25">
      <c r="A28" s="867"/>
      <c r="B28" s="866"/>
      <c r="C28" s="867"/>
      <c r="D28" s="867"/>
      <c r="E28" s="867"/>
      <c r="F28" s="867"/>
      <c r="G28" s="867"/>
      <c r="H28" s="867"/>
      <c r="I28" s="866"/>
      <c r="J28" s="866"/>
      <c r="K28" s="866"/>
      <c r="L28" s="866"/>
      <c r="M28" s="866"/>
      <c r="N28" s="866"/>
      <c r="O28" s="866"/>
    </row>
    <row r="29" spans="1:15" s="640" customFormat="1" x14ac:dyDescent="0.25">
      <c r="A29" s="867"/>
      <c r="B29" s="866"/>
      <c r="C29" s="867"/>
      <c r="D29" s="867"/>
      <c r="E29" s="867"/>
      <c r="F29" s="867"/>
      <c r="G29" s="867"/>
      <c r="H29" s="867"/>
      <c r="I29" s="866"/>
      <c r="J29" s="866"/>
      <c r="K29" s="866"/>
      <c r="L29" s="866"/>
      <c r="M29" s="866"/>
      <c r="N29" s="866"/>
      <c r="O29" s="866"/>
    </row>
    <row r="30" spans="1:15" s="640" customFormat="1" x14ac:dyDescent="0.25">
      <c r="A30" s="867"/>
      <c r="B30" s="866"/>
      <c r="C30" s="867"/>
      <c r="D30" s="867"/>
      <c r="E30" s="867"/>
      <c r="F30" s="867"/>
      <c r="G30" s="867"/>
      <c r="H30" s="867"/>
      <c r="I30" s="866"/>
      <c r="J30" s="866"/>
      <c r="K30" s="866"/>
      <c r="L30" s="866"/>
      <c r="M30" s="866"/>
      <c r="N30" s="866"/>
      <c r="O30" s="866"/>
    </row>
    <row r="31" spans="1:15" s="640" customFormat="1" x14ac:dyDescent="0.25">
      <c r="A31" s="867"/>
      <c r="B31" s="866"/>
      <c r="C31" s="867"/>
      <c r="D31" s="867"/>
      <c r="E31" s="867"/>
      <c r="F31" s="867"/>
      <c r="G31" s="867"/>
      <c r="H31" s="867"/>
      <c r="I31" s="866"/>
      <c r="J31" s="866"/>
      <c r="K31" s="866"/>
      <c r="L31" s="866"/>
      <c r="M31" s="866"/>
      <c r="N31" s="866"/>
      <c r="O31" s="866"/>
    </row>
    <row r="32" spans="1:15" s="640" customFormat="1" x14ac:dyDescent="0.25">
      <c r="A32" s="867"/>
      <c r="B32" s="866"/>
      <c r="C32" s="867"/>
      <c r="D32" s="867"/>
      <c r="E32" s="867"/>
      <c r="F32" s="867"/>
      <c r="G32" s="867"/>
      <c r="H32" s="867"/>
      <c r="I32" s="866"/>
      <c r="J32" s="866"/>
      <c r="K32" s="866"/>
      <c r="L32" s="866"/>
      <c r="M32" s="866"/>
      <c r="N32" s="866"/>
      <c r="O32" s="866"/>
    </row>
  </sheetData>
  <sheetProtection algorithmName="SHA-512" hashValue="dRDRsjLlywhmta9ikYwSuEXDCrzWJc0vBIJ06heisiL9U6BAM/tqQ3pRZ9MN/2syUPbfbF1McUVe8Ly4eBk2mw==" saltValue="EH3Us9I7wFunhKkXBCvV4w==" spinCount="100000" sheet="1" objects="1" scenarios="1"/>
  <mergeCells count="5">
    <mergeCell ref="I3:I7"/>
    <mergeCell ref="M3:M10"/>
    <mergeCell ref="L3:L10"/>
    <mergeCell ref="K4:K10"/>
    <mergeCell ref="J3:J10"/>
  </mergeCells>
  <phoneticPr fontId="45" type="noConversion"/>
  <conditionalFormatting sqref="F3:F4">
    <cfRule type="cellIs" dxfId="194" priority="48" stopIfTrue="1" operator="greaterThan">
      <formula>#REF!</formula>
    </cfRule>
  </conditionalFormatting>
  <conditionalFormatting sqref="F5">
    <cfRule type="cellIs" dxfId="193" priority="59" stopIfTrue="1" operator="greaterThan">
      <formula>#REF!</formula>
    </cfRule>
  </conditionalFormatting>
  <conditionalFormatting sqref="F6">
    <cfRule type="cellIs" dxfId="192" priority="44" stopIfTrue="1" operator="greaterThan">
      <formula>#REF!</formula>
    </cfRule>
  </conditionalFormatting>
  <conditionalFormatting sqref="F7">
    <cfRule type="cellIs" dxfId="191" priority="51" stopIfTrue="1" operator="greaterThan">
      <formula>#REF!</formula>
    </cfRule>
  </conditionalFormatting>
  <conditionalFormatting sqref="F8">
    <cfRule type="cellIs" dxfId="190" priority="28" stopIfTrue="1" operator="greaterThan">
      <formula>#REF!</formula>
    </cfRule>
  </conditionalFormatting>
  <conditionalFormatting sqref="F9">
    <cfRule type="cellIs" dxfId="189" priority="19" stopIfTrue="1" operator="greaterThan">
      <formula>#REF!</formula>
    </cfRule>
  </conditionalFormatting>
  <conditionalFormatting sqref="F10">
    <cfRule type="cellIs" dxfId="188" priority="50" stopIfTrue="1" operator="greaterThan">
      <formula>#REF!</formula>
    </cfRule>
  </conditionalFormatting>
  <conditionalFormatting sqref="G4:G10">
    <cfRule type="cellIs" dxfId="187" priority="18" stopIfTrue="1" operator="notBetween">
      <formula>-50</formula>
      <formula>50</formula>
    </cfRule>
  </conditionalFormatting>
  <conditionalFormatting sqref="H3:H10">
    <cfRule type="cellIs" dxfId="186" priority="17" operator="greaterThan">
      <formula>4</formula>
    </cfRule>
  </conditionalFormatting>
  <pageMargins left="0.7" right="0.7" top="0.75" bottom="0.75" header="0.3" footer="0.3"/>
  <pageSetup paperSize="9" orientation="portrait" horizontalDpi="300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DD0276-FDD3-4585-BBF0-975303153FDE}">
  <sheetPr>
    <tabColor rgb="FFFFFF00"/>
  </sheetPr>
  <dimension ref="A1:N9"/>
  <sheetViews>
    <sheetView zoomScaleNormal="75" workbookViewId="0">
      <selection activeCell="F8" sqref="F8"/>
    </sheetView>
  </sheetViews>
  <sheetFormatPr defaultColWidth="10.28515625" defaultRowHeight="16.5" x14ac:dyDescent="0.25"/>
  <cols>
    <col min="1" max="1" width="29.28515625" style="620" customWidth="1"/>
    <col min="2" max="2" width="23.140625" style="609" customWidth="1"/>
    <col min="3" max="3" width="27" style="638" customWidth="1"/>
    <col min="4" max="4" width="27.140625" style="609" customWidth="1"/>
    <col min="5" max="5" width="20.85546875" style="609" customWidth="1"/>
    <col min="6" max="6" width="20.7109375" style="620" customWidth="1"/>
    <col min="7" max="7" width="15.28515625" style="620" customWidth="1"/>
    <col min="8" max="8" width="9.28515625" style="620" customWidth="1"/>
    <col min="9" max="9" width="17.140625" style="620" customWidth="1"/>
    <col min="10" max="10" width="11.42578125" style="620" customWidth="1"/>
    <col min="11" max="11" width="17.140625" style="620" customWidth="1"/>
    <col min="12" max="12" width="16.140625" style="620" customWidth="1"/>
    <col min="13" max="13" width="21" style="620" customWidth="1"/>
    <col min="14" max="16384" width="10.28515625" style="620"/>
  </cols>
  <sheetData>
    <row r="1" spans="1:14" ht="28.5" thickBot="1" x14ac:dyDescent="0.45">
      <c r="A1" s="627" t="s">
        <v>55</v>
      </c>
      <c r="B1" s="636"/>
    </row>
    <row r="2" spans="1:14" s="640" customFormat="1" ht="51" thickTop="1" thickBot="1" x14ac:dyDescent="0.3">
      <c r="A2" s="644" t="s">
        <v>657</v>
      </c>
      <c r="B2" s="661" t="s">
        <v>1038</v>
      </c>
      <c r="C2" s="661" t="s">
        <v>3</v>
      </c>
      <c r="D2" s="661" t="s">
        <v>1039</v>
      </c>
      <c r="E2" s="661" t="s">
        <v>760</v>
      </c>
      <c r="F2" s="656" t="s">
        <v>758</v>
      </c>
      <c r="G2" s="657" t="s">
        <v>2</v>
      </c>
      <c r="H2" s="654" t="s">
        <v>738</v>
      </c>
      <c r="I2" s="654" t="s">
        <v>4</v>
      </c>
      <c r="J2" s="625" t="s">
        <v>705</v>
      </c>
      <c r="K2" s="631" t="s">
        <v>761</v>
      </c>
    </row>
    <row r="3" spans="1:14" s="640" customFormat="1" ht="17.25" thickTop="1" x14ac:dyDescent="0.25">
      <c r="A3" s="810" t="s">
        <v>1150</v>
      </c>
      <c r="B3" s="861" t="s">
        <v>1152</v>
      </c>
      <c r="C3" s="1082">
        <v>10000</v>
      </c>
      <c r="D3" s="1083">
        <v>3075.52</v>
      </c>
      <c r="E3" s="1076">
        <f>C3-D3</f>
        <v>6924.48</v>
      </c>
      <c r="F3" s="673"/>
      <c r="G3" s="632" t="s">
        <v>56</v>
      </c>
      <c r="H3" s="616"/>
      <c r="I3" s="956" t="s">
        <v>1154</v>
      </c>
      <c r="J3" s="993" t="s">
        <v>784</v>
      </c>
      <c r="K3" s="995">
        <v>15</v>
      </c>
    </row>
    <row r="4" spans="1:14" s="640" customFormat="1" ht="17.25" thickBot="1" x14ac:dyDescent="0.3">
      <c r="A4" s="811" t="s">
        <v>1151</v>
      </c>
      <c r="B4" s="863" t="s">
        <v>1153</v>
      </c>
      <c r="C4" s="1084">
        <v>10000</v>
      </c>
      <c r="D4" s="1085">
        <v>3197.42</v>
      </c>
      <c r="E4" s="1086">
        <f>C4-D4</f>
        <v>6802.58</v>
      </c>
      <c r="F4" s="675"/>
      <c r="G4" s="630">
        <f>F3-F4</f>
        <v>0</v>
      </c>
      <c r="H4" s="612"/>
      <c r="I4" s="992"/>
      <c r="J4" s="994"/>
      <c r="K4" s="966"/>
      <c r="N4" s="641"/>
    </row>
    <row r="5" spans="1:14" ht="18" thickTop="1" thickBot="1" x14ac:dyDescent="0.3">
      <c r="C5" s="1087"/>
      <c r="D5" s="1088"/>
      <c r="E5" s="1088"/>
    </row>
    <row r="6" spans="1:14" ht="51" thickTop="1" thickBot="1" x14ac:dyDescent="0.3">
      <c r="A6" s="644" t="s">
        <v>657</v>
      </c>
      <c r="B6" s="661" t="s">
        <v>1038</v>
      </c>
      <c r="C6" s="1089" t="s">
        <v>3</v>
      </c>
      <c r="D6" s="1089" t="s">
        <v>1039</v>
      </c>
      <c r="E6" s="1089" t="s">
        <v>760</v>
      </c>
      <c r="F6" s="656" t="s">
        <v>758</v>
      </c>
      <c r="G6" s="657" t="s">
        <v>2</v>
      </c>
      <c r="H6" s="654" t="s">
        <v>738</v>
      </c>
      <c r="I6" s="654" t="s">
        <v>4</v>
      </c>
      <c r="J6" s="625" t="s">
        <v>705</v>
      </c>
      <c r="K6" s="631" t="s">
        <v>761</v>
      </c>
    </row>
    <row r="7" spans="1:14" ht="17.25" thickTop="1" x14ac:dyDescent="0.25">
      <c r="A7" s="810" t="s">
        <v>1155</v>
      </c>
      <c r="B7" s="861" t="s">
        <v>1157</v>
      </c>
      <c r="C7" s="1082">
        <v>10000</v>
      </c>
      <c r="D7" s="1083">
        <v>2652.39</v>
      </c>
      <c r="E7" s="1076">
        <f>C7-D7</f>
        <v>7347.6100000000006</v>
      </c>
      <c r="F7" s="673"/>
      <c r="G7" s="632" t="s">
        <v>56</v>
      </c>
      <c r="H7" s="616"/>
      <c r="I7" s="956" t="s">
        <v>1154</v>
      </c>
      <c r="J7" s="993" t="s">
        <v>784</v>
      </c>
      <c r="K7" s="995">
        <v>15</v>
      </c>
    </row>
    <row r="8" spans="1:14" ht="17.25" thickBot="1" x14ac:dyDescent="0.3">
      <c r="A8" s="811" t="s">
        <v>1156</v>
      </c>
      <c r="B8" s="863" t="s">
        <v>1158</v>
      </c>
      <c r="C8" s="1084">
        <v>10000</v>
      </c>
      <c r="D8" s="1085">
        <v>2769.72</v>
      </c>
      <c r="E8" s="1086">
        <f>C8-D8</f>
        <v>7230.2800000000007</v>
      </c>
      <c r="F8" s="675"/>
      <c r="G8" s="630">
        <f>F7-F8</f>
        <v>0</v>
      </c>
      <c r="H8" s="612"/>
      <c r="I8" s="992"/>
      <c r="J8" s="994"/>
      <c r="K8" s="966"/>
    </row>
    <row r="9" spans="1:14" ht="17.25" thickTop="1" x14ac:dyDescent="0.25"/>
  </sheetData>
  <sheetProtection algorithmName="SHA-512" hashValue="6pWi4CWEx0wdG2v9oIXKq892iitm212OOc4WDLo/5xuEDsxhQSXIYrBy93f6vq8YgrtAGVGpAy0h6Ox2WeiARA==" saltValue="8EjOiwts7ntwqPbEeVNBRQ==" spinCount="100000" sheet="1" selectLockedCells="1"/>
  <mergeCells count="6">
    <mergeCell ref="I3:I4"/>
    <mergeCell ref="J3:J4"/>
    <mergeCell ref="K3:K4"/>
    <mergeCell ref="I7:I8"/>
    <mergeCell ref="J7:J8"/>
    <mergeCell ref="K7:K8"/>
  </mergeCells>
  <phoneticPr fontId="45" type="noConversion"/>
  <conditionalFormatting sqref="F3:F4">
    <cfRule type="cellIs" dxfId="185" priority="7" stopIfTrue="1" operator="greaterThan">
      <formula>10000</formula>
    </cfRule>
  </conditionalFormatting>
  <conditionalFormatting sqref="G4">
    <cfRule type="cellIs" dxfId="184" priority="8" stopIfTrue="1" operator="notBetween">
      <formula>-250</formula>
      <formula>250</formula>
    </cfRule>
  </conditionalFormatting>
  <conditionalFormatting sqref="H3:H4">
    <cfRule type="cellIs" dxfId="183" priority="6" stopIfTrue="1" operator="greaterThan">
      <formula>4</formula>
    </cfRule>
  </conditionalFormatting>
  <conditionalFormatting sqref="D3:D4">
    <cfRule type="cellIs" dxfId="182" priority="5" operator="greaterThan">
      <formula>5000</formula>
    </cfRule>
  </conditionalFormatting>
  <conditionalFormatting sqref="F7:F8">
    <cfRule type="cellIs" dxfId="181" priority="3" stopIfTrue="1" operator="greaterThan">
      <formula>10000</formula>
    </cfRule>
  </conditionalFormatting>
  <conditionalFormatting sqref="G8">
    <cfRule type="cellIs" dxfId="180" priority="4" stopIfTrue="1" operator="notBetween">
      <formula>-250</formula>
      <formula>250</formula>
    </cfRule>
  </conditionalFormatting>
  <conditionalFormatting sqref="H7:H8">
    <cfRule type="cellIs" dxfId="179" priority="2" stopIfTrue="1" operator="greaterThan">
      <formula>4</formula>
    </cfRule>
  </conditionalFormatting>
  <conditionalFormatting sqref="D7:D8">
    <cfRule type="cellIs" dxfId="178" priority="1" operator="greaterThan">
      <formula>5000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0">
    <tabColor rgb="FFFFFF00"/>
  </sheetPr>
  <dimension ref="A1:P5"/>
  <sheetViews>
    <sheetView zoomScaleNormal="75" workbookViewId="0">
      <selection activeCell="F3" sqref="F3"/>
    </sheetView>
  </sheetViews>
  <sheetFormatPr defaultColWidth="10.28515625" defaultRowHeight="16.5" x14ac:dyDescent="0.25"/>
  <cols>
    <col min="1" max="1" width="29.28515625" style="620" customWidth="1"/>
    <col min="2" max="2" width="23.140625" style="609" customWidth="1"/>
    <col min="3" max="3" width="27" style="638" customWidth="1"/>
    <col min="4" max="4" width="27.140625" style="609" customWidth="1"/>
    <col min="5" max="5" width="20.85546875" style="609" customWidth="1"/>
    <col min="6" max="6" width="20.7109375" style="620" customWidth="1"/>
    <col min="7" max="7" width="15.28515625" style="620" customWidth="1"/>
    <col min="8" max="8" width="9.28515625" style="620" customWidth="1"/>
    <col min="9" max="9" width="17.140625" style="620" customWidth="1"/>
    <col min="10" max="10" width="11.42578125" style="620" customWidth="1"/>
    <col min="11" max="11" width="17.140625" style="620" customWidth="1"/>
    <col min="12" max="12" width="16.140625" style="620" customWidth="1"/>
    <col min="13" max="13" width="21" style="620" customWidth="1"/>
    <col min="14" max="16384" width="10.28515625" style="620"/>
  </cols>
  <sheetData>
    <row r="1" spans="1:16" ht="28.5" thickBot="1" x14ac:dyDescent="0.45">
      <c r="A1" s="627" t="s">
        <v>55</v>
      </c>
      <c r="B1" s="636"/>
    </row>
    <row r="2" spans="1:16" s="640" customFormat="1" ht="34.5" thickTop="1" thickBot="1" x14ac:dyDescent="0.3">
      <c r="A2" s="644" t="s">
        <v>702</v>
      </c>
      <c r="B2" s="661" t="s">
        <v>1038</v>
      </c>
      <c r="C2" s="661" t="s">
        <v>3</v>
      </c>
      <c r="D2" s="661" t="s">
        <v>1039</v>
      </c>
      <c r="E2" s="661" t="s">
        <v>760</v>
      </c>
      <c r="F2" s="656" t="s">
        <v>758</v>
      </c>
      <c r="G2" s="657" t="s">
        <v>2</v>
      </c>
      <c r="H2" s="654" t="s">
        <v>738</v>
      </c>
      <c r="I2" s="654" t="s">
        <v>4</v>
      </c>
      <c r="J2" s="625" t="s">
        <v>736</v>
      </c>
      <c r="K2" s="625" t="s">
        <v>705</v>
      </c>
      <c r="L2" s="625" t="s">
        <v>786</v>
      </c>
      <c r="M2" s="631" t="s">
        <v>761</v>
      </c>
    </row>
    <row r="3" spans="1:16" s="640" customFormat="1" ht="18" thickTop="1" thickBot="1" x14ac:dyDescent="0.3">
      <c r="A3" s="810" t="s">
        <v>649</v>
      </c>
      <c r="B3" s="861" t="s">
        <v>1004</v>
      </c>
      <c r="C3" s="1082">
        <v>13000</v>
      </c>
      <c r="D3" s="1040">
        <v>3106.44</v>
      </c>
      <c r="E3" s="1076">
        <f>C3-D3</f>
        <v>9893.56</v>
      </c>
      <c r="F3" s="673"/>
      <c r="G3" s="632" t="s">
        <v>56</v>
      </c>
      <c r="H3" s="616"/>
      <c r="I3" s="956" t="s">
        <v>652</v>
      </c>
      <c r="J3" s="993" t="s">
        <v>782</v>
      </c>
      <c r="K3" s="993" t="s">
        <v>785</v>
      </c>
      <c r="L3" s="993">
        <v>12</v>
      </c>
      <c r="M3" s="995">
        <v>12</v>
      </c>
    </row>
    <row r="4" spans="1:16" s="640" customFormat="1" ht="18" thickTop="1" thickBot="1" x14ac:dyDescent="0.3">
      <c r="A4" s="811" t="s">
        <v>648</v>
      </c>
      <c r="B4" s="863" t="s">
        <v>1005</v>
      </c>
      <c r="C4" s="1084">
        <v>13000</v>
      </c>
      <c r="D4" s="1072">
        <v>3074.3999999999996</v>
      </c>
      <c r="E4" s="1076">
        <f>C4-D4</f>
        <v>9925.6</v>
      </c>
      <c r="F4" s="675"/>
      <c r="G4" s="630">
        <f>F3-F4</f>
        <v>0</v>
      </c>
      <c r="H4" s="612"/>
      <c r="I4" s="992"/>
      <c r="J4" s="994"/>
      <c r="K4" s="994"/>
      <c r="L4" s="994"/>
      <c r="M4" s="966"/>
      <c r="P4" s="641"/>
    </row>
    <row r="5" spans="1:16" ht="17.25" thickTop="1" x14ac:dyDescent="0.25"/>
  </sheetData>
  <sheetProtection algorithmName="SHA-512" hashValue="lHknjtwOaqY4cgR0oU2SC1gHJMCPWdvMNtKB3AOqfE8AHRMFHMhePMFwPvbj0iJzj5hNFnXwPKnAQLXYJDN7iA==" saltValue="fkYORZLO1wv07I+1Zan3sw==" spinCount="100000" sheet="1" selectLockedCells="1"/>
  <mergeCells count="5">
    <mergeCell ref="I3:I4"/>
    <mergeCell ref="J3:J4"/>
    <mergeCell ref="K3:K4"/>
    <mergeCell ref="L3:L4"/>
    <mergeCell ref="M3:M4"/>
  </mergeCells>
  <phoneticPr fontId="35" type="noConversion"/>
  <conditionalFormatting sqref="F3:F4">
    <cfRule type="cellIs" dxfId="177" priority="5" stopIfTrue="1" operator="greaterThan">
      <formula>10000</formula>
    </cfRule>
  </conditionalFormatting>
  <conditionalFormatting sqref="G4">
    <cfRule type="cellIs" dxfId="176" priority="8" stopIfTrue="1" operator="notBetween">
      <formula>-250</formula>
      <formula>250</formula>
    </cfRule>
  </conditionalFormatting>
  <conditionalFormatting sqref="H3:H4">
    <cfRule type="cellIs" dxfId="175" priority="4" stopIfTrue="1" operator="greaterThan">
      <formula>4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F42845-CE8E-4B8F-83C3-7D7930787D65}">
  <sheetPr>
    <tabColor rgb="FFFFFF00"/>
  </sheetPr>
  <dimension ref="A1:N5"/>
  <sheetViews>
    <sheetView zoomScaleNormal="75" workbookViewId="0">
      <selection activeCell="F3" sqref="F3"/>
    </sheetView>
  </sheetViews>
  <sheetFormatPr defaultColWidth="10.28515625" defaultRowHeight="16.5" x14ac:dyDescent="0.25"/>
  <cols>
    <col min="1" max="1" width="29.28515625" style="620" customWidth="1"/>
    <col min="2" max="2" width="23.140625" style="609" customWidth="1"/>
    <col min="3" max="3" width="27" style="638" customWidth="1"/>
    <col min="4" max="4" width="27.140625" style="609" customWidth="1"/>
    <col min="5" max="5" width="20.85546875" style="609" customWidth="1"/>
    <col min="6" max="6" width="20.7109375" style="620" customWidth="1"/>
    <col min="7" max="7" width="15.28515625" style="620" customWidth="1"/>
    <col min="8" max="8" width="9.28515625" style="620" customWidth="1"/>
    <col min="9" max="9" width="17.140625" style="620" customWidth="1"/>
    <col min="10" max="10" width="11.42578125" style="620" customWidth="1"/>
    <col min="11" max="11" width="17.140625" style="620" customWidth="1"/>
    <col min="12" max="12" width="16.140625" style="620" customWidth="1"/>
    <col min="13" max="13" width="21" style="620" customWidth="1"/>
    <col min="14" max="16384" width="10.28515625" style="620"/>
  </cols>
  <sheetData>
    <row r="1" spans="1:14" ht="28.5" thickBot="1" x14ac:dyDescent="0.45">
      <c r="A1" s="627" t="s">
        <v>55</v>
      </c>
      <c r="B1" s="636"/>
    </row>
    <row r="2" spans="1:14" s="640" customFormat="1" ht="51" thickTop="1" thickBot="1" x14ac:dyDescent="0.3">
      <c r="A2" s="644" t="s">
        <v>657</v>
      </c>
      <c r="B2" s="661" t="s">
        <v>1038</v>
      </c>
      <c r="C2" s="661" t="s">
        <v>3</v>
      </c>
      <c r="D2" s="661" t="s">
        <v>1039</v>
      </c>
      <c r="E2" s="661" t="s">
        <v>760</v>
      </c>
      <c r="F2" s="656" t="s">
        <v>758</v>
      </c>
      <c r="G2" s="657" t="s">
        <v>2</v>
      </c>
      <c r="H2" s="654" t="s">
        <v>738</v>
      </c>
      <c r="I2" s="654" t="s">
        <v>4</v>
      </c>
      <c r="J2" s="625" t="s">
        <v>705</v>
      </c>
      <c r="K2" s="631" t="s">
        <v>761</v>
      </c>
    </row>
    <row r="3" spans="1:14" s="640" customFormat="1" ht="17.25" thickTop="1" x14ac:dyDescent="0.25">
      <c r="A3" s="810" t="s">
        <v>1144</v>
      </c>
      <c r="B3" s="861" t="s">
        <v>1146</v>
      </c>
      <c r="C3" s="1082">
        <v>10000</v>
      </c>
      <c r="D3" s="1083">
        <v>2706.19</v>
      </c>
      <c r="E3" s="1076">
        <f>C3-D3</f>
        <v>7293.8099999999995</v>
      </c>
      <c r="F3" s="673"/>
      <c r="G3" s="632" t="s">
        <v>56</v>
      </c>
      <c r="H3" s="616"/>
      <c r="I3" s="956" t="s">
        <v>1148</v>
      </c>
      <c r="J3" s="993" t="s">
        <v>1149</v>
      </c>
      <c r="K3" s="995">
        <v>20</v>
      </c>
    </row>
    <row r="4" spans="1:14" s="640" customFormat="1" ht="17.25" thickBot="1" x14ac:dyDescent="0.3">
      <c r="A4" s="811" t="s">
        <v>1145</v>
      </c>
      <c r="B4" s="863" t="s">
        <v>1147</v>
      </c>
      <c r="C4" s="1084">
        <v>10000</v>
      </c>
      <c r="D4" s="1085">
        <v>2705.12</v>
      </c>
      <c r="E4" s="1086">
        <f>C4-D4</f>
        <v>7294.88</v>
      </c>
      <c r="F4" s="675"/>
      <c r="G4" s="630">
        <f>F3-F4</f>
        <v>0</v>
      </c>
      <c r="H4" s="612"/>
      <c r="I4" s="992"/>
      <c r="J4" s="994"/>
      <c r="K4" s="966"/>
      <c r="N4" s="641"/>
    </row>
    <row r="5" spans="1:14" ht="17.25" thickTop="1" x14ac:dyDescent="0.25"/>
  </sheetData>
  <sheetProtection algorithmName="SHA-512" hashValue="mjDA4ZYjlXg5oonoA6/HI+6GkzrR53cCXpGudXTJDFcYCOy+N0J/N/ztSZgQVGd3VLs6EwTodq0S2cbaeYyOgw==" saltValue="0fWm/4TFNh/yuNXFI2EQxA==" spinCount="100000" sheet="1" selectLockedCells="1"/>
  <mergeCells count="3">
    <mergeCell ref="I3:I4"/>
    <mergeCell ref="J3:J4"/>
    <mergeCell ref="K3:K4"/>
  </mergeCells>
  <phoneticPr fontId="45" type="noConversion"/>
  <conditionalFormatting sqref="F3:F4">
    <cfRule type="cellIs" dxfId="174" priority="3" stopIfTrue="1" operator="greaterThan">
      <formula>10000</formula>
    </cfRule>
  </conditionalFormatting>
  <conditionalFormatting sqref="G4">
    <cfRule type="cellIs" dxfId="173" priority="4" stopIfTrue="1" operator="notBetween">
      <formula>-250</formula>
      <formula>250</formula>
    </cfRule>
  </conditionalFormatting>
  <conditionalFormatting sqref="H3:H4">
    <cfRule type="cellIs" dxfId="172" priority="2" stopIfTrue="1" operator="greaterThan">
      <formula>4</formula>
    </cfRule>
  </conditionalFormatting>
  <conditionalFormatting sqref="D3:D4">
    <cfRule type="cellIs" dxfId="171" priority="1" operator="greaterThan">
      <formula>5000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1CF414-F926-4419-A17D-9D4438007C5C}">
  <sheetPr>
    <tabColor rgb="FFFFFF00"/>
  </sheetPr>
  <dimension ref="A1:P7"/>
  <sheetViews>
    <sheetView workbookViewId="0">
      <selection activeCell="F3" sqref="F3"/>
    </sheetView>
  </sheetViews>
  <sheetFormatPr defaultColWidth="10.28515625" defaultRowHeight="16.5" x14ac:dyDescent="0.25"/>
  <cols>
    <col min="1" max="1" width="26.42578125" style="620" customWidth="1"/>
    <col min="2" max="2" width="17.28515625" style="609" customWidth="1"/>
    <col min="3" max="3" width="26.85546875" style="643" customWidth="1"/>
    <col min="4" max="4" width="18.28515625" style="638" customWidth="1"/>
    <col min="5" max="5" width="25" style="609" customWidth="1"/>
    <col min="6" max="6" width="22.5703125" style="608" customWidth="1"/>
    <col min="7" max="7" width="12.28515625" style="620" customWidth="1"/>
    <col min="8" max="8" width="12" style="620" customWidth="1"/>
    <col min="9" max="9" width="17.85546875" style="620" customWidth="1"/>
    <col min="10" max="10" width="10.28515625" style="620"/>
    <col min="11" max="11" width="16.5703125" style="620" customWidth="1"/>
    <col min="12" max="12" width="21.7109375" style="620" customWidth="1"/>
    <col min="13" max="13" width="23.85546875" style="620" customWidth="1"/>
    <col min="14" max="16384" width="10.28515625" style="620"/>
  </cols>
  <sheetData>
    <row r="1" spans="1:16" ht="28.5" thickBot="1" x14ac:dyDescent="0.45">
      <c r="A1" s="627" t="s">
        <v>1130</v>
      </c>
      <c r="B1" s="636"/>
      <c r="C1" s="637"/>
    </row>
    <row r="2" spans="1:16" s="640" customFormat="1" ht="34.5" thickTop="1" thickBot="1" x14ac:dyDescent="0.3">
      <c r="A2" s="622" t="s">
        <v>657</v>
      </c>
      <c r="B2" s="679" t="s">
        <v>1038</v>
      </c>
      <c r="C2" s="679" t="s">
        <v>3</v>
      </c>
      <c r="D2" s="679" t="s">
        <v>1039</v>
      </c>
      <c r="E2" s="679" t="s">
        <v>760</v>
      </c>
      <c r="F2" s="623" t="s">
        <v>758</v>
      </c>
      <c r="G2" s="624" t="s">
        <v>2</v>
      </c>
      <c r="H2" s="621" t="s">
        <v>738</v>
      </c>
      <c r="I2" s="621" t="s">
        <v>4</v>
      </c>
      <c r="J2" s="621" t="s">
        <v>762</v>
      </c>
      <c r="K2" s="621" t="s">
        <v>705</v>
      </c>
      <c r="L2" s="621" t="s">
        <v>1131</v>
      </c>
      <c r="M2" s="712" t="s">
        <v>761</v>
      </c>
    </row>
    <row r="3" spans="1:16" s="640" customFormat="1" ht="17.25" thickTop="1" x14ac:dyDescent="0.25">
      <c r="A3" s="870" t="s">
        <v>1132</v>
      </c>
      <c r="B3" s="861" t="s">
        <v>1132</v>
      </c>
      <c r="C3" s="692">
        <v>7000</v>
      </c>
      <c r="D3" s="1017">
        <v>5535.6</v>
      </c>
      <c r="E3" s="856">
        <f>C3-D3</f>
        <v>1464.3999999999996</v>
      </c>
      <c r="F3" s="604"/>
      <c r="G3" s="1018" t="s">
        <v>56</v>
      </c>
      <c r="H3" s="616"/>
      <c r="I3" s="956" t="s">
        <v>1127</v>
      </c>
      <c r="J3" s="973">
        <v>2</v>
      </c>
      <c r="K3" s="983" t="s">
        <v>784</v>
      </c>
      <c r="L3" s="983">
        <v>12</v>
      </c>
      <c r="M3" s="995">
        <v>20</v>
      </c>
    </row>
    <row r="4" spans="1:16" s="640" customFormat="1" x14ac:dyDescent="0.25">
      <c r="A4" s="1015" t="s">
        <v>1133</v>
      </c>
      <c r="B4" s="1019" t="s">
        <v>1133</v>
      </c>
      <c r="C4" s="1020">
        <v>7000</v>
      </c>
      <c r="D4" s="1021">
        <v>5467.93</v>
      </c>
      <c r="E4" s="1022">
        <f>C4-D4</f>
        <v>1532.0699999999997</v>
      </c>
      <c r="F4" s="1014"/>
      <c r="G4" s="1023" t="s">
        <v>782</v>
      </c>
      <c r="H4" s="1024"/>
      <c r="I4" s="1025"/>
      <c r="J4" s="1026"/>
      <c r="K4" s="984"/>
      <c r="L4" s="984"/>
      <c r="M4" s="1027"/>
      <c r="P4" s="641"/>
    </row>
    <row r="5" spans="1:16" s="640" customFormat="1" x14ac:dyDescent="0.25">
      <c r="A5" s="1015" t="s">
        <v>1134</v>
      </c>
      <c r="B5" s="1019" t="s">
        <v>1134</v>
      </c>
      <c r="C5" s="1020">
        <v>7000</v>
      </c>
      <c r="D5" s="1021">
        <v>5430.65</v>
      </c>
      <c r="E5" s="1022">
        <f>C5-D5</f>
        <v>1569.3500000000004</v>
      </c>
      <c r="F5" s="1014"/>
      <c r="G5" s="1023">
        <f>F3-F5</f>
        <v>0</v>
      </c>
      <c r="H5" s="1024"/>
      <c r="I5" s="1025"/>
      <c r="J5" s="1026"/>
      <c r="K5" s="984"/>
      <c r="L5" s="984"/>
      <c r="M5" s="1027"/>
    </row>
    <row r="6" spans="1:16" s="640" customFormat="1" ht="17.25" thickBot="1" x14ac:dyDescent="0.3">
      <c r="A6" s="877" t="s">
        <v>1135</v>
      </c>
      <c r="B6" s="1028" t="s">
        <v>1135</v>
      </c>
      <c r="C6" s="1029">
        <v>7000</v>
      </c>
      <c r="D6" s="1030">
        <v>5539.45</v>
      </c>
      <c r="E6" s="1031">
        <f>C6-D6</f>
        <v>1460.5500000000002</v>
      </c>
      <c r="F6" s="1007"/>
      <c r="G6" s="1032">
        <f>F3-F6</f>
        <v>0</v>
      </c>
      <c r="H6" s="1033"/>
      <c r="I6" s="1034"/>
      <c r="J6" s="1035"/>
      <c r="K6" s="985"/>
      <c r="L6" s="985"/>
      <c r="M6" s="966"/>
      <c r="O6" s="642"/>
    </row>
    <row r="7" spans="1:16" ht="17.25" thickTop="1" x14ac:dyDescent="0.25">
      <c r="E7" s="1036"/>
    </row>
  </sheetData>
  <sheetProtection algorithmName="SHA-512" hashValue="yub6HHIOROFJOdiXx+vwmfk6t4FWcEwG9ji3HrR9f//QSb/uexqlVFfWc6S2KFPQ1RsMKL/jPSCj5roWUCVwcQ==" saltValue="MBa43hdyMZ6esBCZWI/gaA==" spinCount="100000" sheet="1" objects="1" scenarios="1" selectLockedCells="1"/>
  <mergeCells count="5">
    <mergeCell ref="I3:I6"/>
    <mergeCell ref="J3:J6"/>
    <mergeCell ref="K3:K6"/>
    <mergeCell ref="L3:L6"/>
    <mergeCell ref="M3:M6"/>
  </mergeCells>
  <phoneticPr fontId="45" type="noConversion"/>
  <conditionalFormatting sqref="F3">
    <cfRule type="cellIs" dxfId="170" priority="2" stopIfTrue="1" operator="greaterThan">
      <formula>$E$3</formula>
    </cfRule>
  </conditionalFormatting>
  <conditionalFormatting sqref="F4">
    <cfRule type="cellIs" dxfId="169" priority="3" stopIfTrue="1" operator="greaterThan">
      <formula>$E$4</formula>
    </cfRule>
  </conditionalFormatting>
  <conditionalFormatting sqref="F5">
    <cfRule type="cellIs" dxfId="168" priority="4" stopIfTrue="1" operator="greaterThan">
      <formula>$E$5</formula>
    </cfRule>
  </conditionalFormatting>
  <conditionalFormatting sqref="F6">
    <cfRule type="cellIs" dxfId="167" priority="5" stopIfTrue="1" operator="greaterThan">
      <formula>$E$6</formula>
    </cfRule>
  </conditionalFormatting>
  <conditionalFormatting sqref="G5:G6">
    <cfRule type="cellIs" dxfId="166" priority="1" stopIfTrue="1" operator="notBetween">
      <formula>-250</formula>
      <formula>250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444785-BE6E-446F-94E4-051EF45711FA}">
  <sheetPr>
    <tabColor rgb="FFFFFF00"/>
  </sheetPr>
  <dimension ref="A1:P7"/>
  <sheetViews>
    <sheetView workbookViewId="0">
      <selection activeCell="F3" sqref="F3"/>
    </sheetView>
  </sheetViews>
  <sheetFormatPr defaultColWidth="10.28515625" defaultRowHeight="16.5" x14ac:dyDescent="0.25"/>
  <cols>
    <col min="1" max="1" width="26.42578125" style="620" customWidth="1"/>
    <col min="2" max="2" width="19.28515625" style="609" customWidth="1"/>
    <col min="3" max="3" width="26.85546875" style="643" customWidth="1"/>
    <col min="4" max="4" width="18.28515625" style="638" customWidth="1"/>
    <col min="5" max="5" width="25" style="609" customWidth="1"/>
    <col min="6" max="6" width="22.5703125" style="608" customWidth="1"/>
    <col min="7" max="7" width="12.28515625" style="620" customWidth="1"/>
    <col min="8" max="8" width="12" style="620" customWidth="1"/>
    <col min="9" max="9" width="17.85546875" style="620" customWidth="1"/>
    <col min="10" max="10" width="10.28515625" style="620"/>
    <col min="11" max="11" width="16.5703125" style="620" customWidth="1"/>
    <col min="12" max="12" width="21.7109375" style="620" customWidth="1"/>
    <col min="13" max="13" width="23.85546875" style="620" customWidth="1"/>
    <col min="14" max="16384" width="10.28515625" style="620"/>
  </cols>
  <sheetData>
    <row r="1" spans="1:16" ht="28.5" thickBot="1" x14ac:dyDescent="0.45">
      <c r="A1" s="627" t="s">
        <v>1130</v>
      </c>
      <c r="B1" s="636"/>
      <c r="C1" s="637"/>
    </row>
    <row r="2" spans="1:16" s="640" customFormat="1" ht="34.5" thickTop="1" thickBot="1" x14ac:dyDescent="0.3">
      <c r="A2" s="622" t="s">
        <v>657</v>
      </c>
      <c r="B2" s="679" t="s">
        <v>1038</v>
      </c>
      <c r="C2" s="679" t="s">
        <v>3</v>
      </c>
      <c r="D2" s="679" t="s">
        <v>1039</v>
      </c>
      <c r="E2" s="679" t="s">
        <v>760</v>
      </c>
      <c r="F2" s="623" t="s">
        <v>758</v>
      </c>
      <c r="G2" s="624" t="s">
        <v>2</v>
      </c>
      <c r="H2" s="621" t="s">
        <v>738</v>
      </c>
      <c r="I2" s="621" t="s">
        <v>4</v>
      </c>
      <c r="J2" s="621" t="s">
        <v>762</v>
      </c>
      <c r="K2" s="621" t="s">
        <v>705</v>
      </c>
      <c r="L2" s="621" t="s">
        <v>1131</v>
      </c>
      <c r="M2" s="712" t="s">
        <v>761</v>
      </c>
    </row>
    <row r="3" spans="1:16" s="640" customFormat="1" ht="17.25" thickTop="1" x14ac:dyDescent="0.25">
      <c r="A3" s="870" t="s">
        <v>1136</v>
      </c>
      <c r="B3" s="861" t="s">
        <v>1137</v>
      </c>
      <c r="C3" s="692">
        <v>7000</v>
      </c>
      <c r="D3" s="1017">
        <v>3046.35</v>
      </c>
      <c r="E3" s="856">
        <f>C3-D3</f>
        <v>3953.65</v>
      </c>
      <c r="F3" s="604"/>
      <c r="G3" s="1018" t="s">
        <v>56</v>
      </c>
      <c r="H3" s="616"/>
      <c r="I3" s="956" t="s">
        <v>1127</v>
      </c>
      <c r="J3" s="973">
        <v>2</v>
      </c>
      <c r="K3" s="983" t="s">
        <v>784</v>
      </c>
      <c r="L3" s="983">
        <v>12</v>
      </c>
      <c r="M3" s="995">
        <v>20</v>
      </c>
    </row>
    <row r="4" spans="1:16" s="640" customFormat="1" x14ac:dyDescent="0.25">
      <c r="A4" s="1015" t="s">
        <v>1138</v>
      </c>
      <c r="B4" s="1019" t="s">
        <v>1139</v>
      </c>
      <c r="C4" s="1020">
        <v>7000</v>
      </c>
      <c r="D4" s="1021">
        <v>3054.5</v>
      </c>
      <c r="E4" s="1022">
        <f>C4-D4</f>
        <v>3945.5</v>
      </c>
      <c r="F4" s="1014"/>
      <c r="G4" s="1023" t="s">
        <v>782</v>
      </c>
      <c r="H4" s="1024"/>
      <c r="I4" s="1025"/>
      <c r="J4" s="1026"/>
      <c r="K4" s="984"/>
      <c r="L4" s="984"/>
      <c r="M4" s="1027"/>
      <c r="P4" s="641"/>
    </row>
    <row r="5" spans="1:16" s="640" customFormat="1" x14ac:dyDescent="0.25">
      <c r="A5" s="1015" t="s">
        <v>1142</v>
      </c>
      <c r="B5" s="1019" t="s">
        <v>1143</v>
      </c>
      <c r="C5" s="1020">
        <v>7000</v>
      </c>
      <c r="D5" s="1021">
        <v>3011.51</v>
      </c>
      <c r="E5" s="1022">
        <f>C5-D5</f>
        <v>3988.49</v>
      </c>
      <c r="F5" s="1014"/>
      <c r="G5" s="1023">
        <f>F3-F5</f>
        <v>0</v>
      </c>
      <c r="H5" s="1024"/>
      <c r="I5" s="1025"/>
      <c r="J5" s="1026"/>
      <c r="K5" s="984"/>
      <c r="L5" s="984"/>
      <c r="M5" s="1027"/>
    </row>
    <row r="6" spans="1:16" s="640" customFormat="1" ht="17.25" thickBot="1" x14ac:dyDescent="0.3">
      <c r="A6" s="877" t="s">
        <v>1140</v>
      </c>
      <c r="B6" s="1028" t="s">
        <v>1141</v>
      </c>
      <c r="C6" s="1029">
        <v>7000</v>
      </c>
      <c r="D6" s="1030">
        <v>3036.39</v>
      </c>
      <c r="E6" s="1031">
        <f>C6-D6</f>
        <v>3963.61</v>
      </c>
      <c r="F6" s="1007"/>
      <c r="G6" s="1032">
        <f>F3-F6</f>
        <v>0</v>
      </c>
      <c r="H6" s="1033"/>
      <c r="I6" s="1034"/>
      <c r="J6" s="1035"/>
      <c r="K6" s="985"/>
      <c r="L6" s="985"/>
      <c r="M6" s="966"/>
      <c r="O6" s="642"/>
    </row>
    <row r="7" spans="1:16" ht="17.25" thickTop="1" x14ac:dyDescent="0.25">
      <c r="E7" s="1036"/>
    </row>
  </sheetData>
  <sheetProtection algorithmName="SHA-512" hashValue="7Ebk+WgyD/jYYmTwBPE1wfIKuKg7QO6ipoQe8Y0aCQ/m1l17UsuZMT7JCd/6i1rucYs6PwushQ83r4cznb/9sg==" saltValue="sjCZgh+ZMUQx+//qFhwxQQ==" spinCount="100000" sheet="1" objects="1" scenarios="1" selectLockedCells="1"/>
  <mergeCells count="5">
    <mergeCell ref="I3:I6"/>
    <mergeCell ref="J3:J6"/>
    <mergeCell ref="K3:K6"/>
    <mergeCell ref="L3:L6"/>
    <mergeCell ref="M3:M6"/>
  </mergeCells>
  <phoneticPr fontId="45" type="noConversion"/>
  <conditionalFormatting sqref="F3">
    <cfRule type="cellIs" dxfId="165" priority="2" stopIfTrue="1" operator="greaterThan">
      <formula>$E$3</formula>
    </cfRule>
  </conditionalFormatting>
  <conditionalFormatting sqref="F4">
    <cfRule type="cellIs" dxfId="164" priority="3" stopIfTrue="1" operator="greaterThan">
      <formula>$E$4</formula>
    </cfRule>
  </conditionalFormatting>
  <conditionalFormatting sqref="F5">
    <cfRule type="cellIs" dxfId="163" priority="4" stopIfTrue="1" operator="greaterThan">
      <formula>$E$5</formula>
    </cfRule>
  </conditionalFormatting>
  <conditionalFormatting sqref="F6">
    <cfRule type="cellIs" dxfId="162" priority="5" stopIfTrue="1" operator="greaterThan">
      <formula>$E$6</formula>
    </cfRule>
  </conditionalFormatting>
  <conditionalFormatting sqref="G5:G6">
    <cfRule type="cellIs" dxfId="161" priority="1" stopIfTrue="1" operator="notBetween">
      <formula>-250</formula>
      <formula>250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rgb="FFFFFF00"/>
  </sheetPr>
  <dimension ref="A1:C23"/>
  <sheetViews>
    <sheetView workbookViewId="0">
      <selection activeCell="B36" sqref="B36"/>
    </sheetView>
  </sheetViews>
  <sheetFormatPr defaultColWidth="19.5703125" defaultRowHeight="12.75" x14ac:dyDescent="0.2"/>
  <cols>
    <col min="1" max="1" width="6.28515625" style="702" customWidth="1"/>
    <col min="2" max="2" width="19.5703125" style="702" customWidth="1"/>
    <col min="3" max="3" width="23.140625" style="702" customWidth="1"/>
    <col min="4" max="16384" width="19.5703125" style="702"/>
  </cols>
  <sheetData>
    <row r="1" spans="1:3" s="701" customFormat="1" ht="13.5" thickBot="1" x14ac:dyDescent="0.25"/>
    <row r="2" spans="1:3" ht="13.5" thickTop="1" x14ac:dyDescent="0.2">
      <c r="A2" s="701"/>
      <c r="B2" s="886" t="s">
        <v>26</v>
      </c>
      <c r="C2" s="884" t="s">
        <v>0</v>
      </c>
    </row>
    <row r="3" spans="1:3" ht="13.5" thickBot="1" x14ac:dyDescent="0.25">
      <c r="B3" s="887"/>
      <c r="C3" s="885"/>
    </row>
    <row r="4" spans="1:3" ht="17.25" thickTop="1" x14ac:dyDescent="0.25">
      <c r="B4" s="703" t="s">
        <v>812</v>
      </c>
      <c r="C4" s="855" t="s">
        <v>874</v>
      </c>
    </row>
    <row r="5" spans="1:3" ht="16.5" x14ac:dyDescent="0.25">
      <c r="B5" s="699" t="s">
        <v>813</v>
      </c>
      <c r="C5" s="854" t="s">
        <v>737</v>
      </c>
    </row>
    <row r="6" spans="1:3" ht="16.5" x14ac:dyDescent="0.25">
      <c r="B6" s="699" t="s">
        <v>814</v>
      </c>
      <c r="C6" s="854" t="s">
        <v>737</v>
      </c>
    </row>
    <row r="7" spans="1:3" ht="16.5" x14ac:dyDescent="0.25">
      <c r="B7" s="699" t="s">
        <v>1162</v>
      </c>
      <c r="C7" s="854" t="s">
        <v>737</v>
      </c>
    </row>
    <row r="8" spans="1:3" ht="16.5" x14ac:dyDescent="0.25">
      <c r="B8" s="699" t="s">
        <v>815</v>
      </c>
      <c r="C8" s="854" t="s">
        <v>797</v>
      </c>
    </row>
    <row r="9" spans="1:3" ht="16.5" x14ac:dyDescent="0.25">
      <c r="B9" s="699" t="s">
        <v>816</v>
      </c>
      <c r="C9" s="854" t="s">
        <v>737</v>
      </c>
    </row>
    <row r="10" spans="1:3" ht="16.5" x14ac:dyDescent="0.25">
      <c r="B10" s="699" t="s">
        <v>820</v>
      </c>
      <c r="C10" s="854" t="s">
        <v>796</v>
      </c>
    </row>
    <row r="11" spans="1:3" ht="16.5" x14ac:dyDescent="0.25">
      <c r="B11" s="699" t="s">
        <v>821</v>
      </c>
      <c r="C11" s="854" t="s">
        <v>796</v>
      </c>
    </row>
    <row r="12" spans="1:3" ht="16.5" x14ac:dyDescent="0.25">
      <c r="B12" s="699" t="s">
        <v>1161</v>
      </c>
      <c r="C12" s="854" t="s">
        <v>1008</v>
      </c>
    </row>
    <row r="13" spans="1:3" ht="16.5" x14ac:dyDescent="0.25">
      <c r="B13" s="699" t="s">
        <v>822</v>
      </c>
      <c r="C13" s="854" t="s">
        <v>797</v>
      </c>
    </row>
    <row r="14" spans="1:3" ht="16.5" x14ac:dyDescent="0.25">
      <c r="B14" s="699" t="s">
        <v>819</v>
      </c>
      <c r="C14" s="854" t="s">
        <v>810</v>
      </c>
    </row>
    <row r="15" spans="1:3" ht="16.5" x14ac:dyDescent="0.25">
      <c r="B15" s="699" t="s">
        <v>1</v>
      </c>
      <c r="C15" s="854" t="s">
        <v>785</v>
      </c>
    </row>
    <row r="16" spans="1:3" ht="16.5" x14ac:dyDescent="0.25">
      <c r="B16" s="699" t="s">
        <v>817</v>
      </c>
      <c r="C16" s="854" t="s">
        <v>810</v>
      </c>
    </row>
    <row r="17" spans="2:3" ht="16.5" x14ac:dyDescent="0.25">
      <c r="B17" s="699" t="s">
        <v>1009</v>
      </c>
      <c r="C17" s="854" t="s">
        <v>810</v>
      </c>
    </row>
    <row r="18" spans="2:3" ht="16.5" x14ac:dyDescent="0.25">
      <c r="B18" s="699" t="s">
        <v>1159</v>
      </c>
      <c r="C18" s="854" t="s">
        <v>810</v>
      </c>
    </row>
    <row r="19" spans="2:3" ht="16.5" x14ac:dyDescent="0.25">
      <c r="B19" s="699" t="s">
        <v>1160</v>
      </c>
      <c r="C19" s="854" t="s">
        <v>810</v>
      </c>
    </row>
    <row r="20" spans="2:3" ht="17.25" thickBot="1" x14ac:dyDescent="0.3">
      <c r="B20" s="700" t="s">
        <v>818</v>
      </c>
      <c r="C20" s="853" t="s">
        <v>810</v>
      </c>
    </row>
    <row r="21" spans="2:3" ht="13.5" thickTop="1" x14ac:dyDescent="0.2"/>
    <row r="23" spans="2:3" x14ac:dyDescent="0.2">
      <c r="C23" s="702" t="s">
        <v>823</v>
      </c>
    </row>
  </sheetData>
  <sheetProtection algorithmName="SHA-512" hashValue="Mdziz4VzP22ROT035O+HuybljGlrpNDV2gBSjqSiX5TomK8SZe1XVTGreJbiZW7tJQf5OurPlubkRcGwLuDlVg==" saltValue="dRGx5y0ipCO4cHBuYHUa6w==" spinCount="100000" sheet="1" selectLockedCells="1"/>
  <mergeCells count="2">
    <mergeCell ref="C2:C3"/>
    <mergeCell ref="B2:B3"/>
  </mergeCells>
  <phoneticPr fontId="35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6"/>
  <dimension ref="A1:BC44"/>
  <sheetViews>
    <sheetView zoomScale="75" workbookViewId="0">
      <selection activeCell="AS27" sqref="AS27"/>
    </sheetView>
  </sheetViews>
  <sheetFormatPr defaultColWidth="24.5703125" defaultRowHeight="12.75" x14ac:dyDescent="0.2"/>
  <cols>
    <col min="1" max="1" width="25.5703125" style="4" customWidth="1"/>
    <col min="2" max="2" width="11.85546875" style="4" customWidth="1"/>
    <col min="3" max="3" width="10" style="20" bestFit="1" customWidth="1"/>
    <col min="4" max="4" width="15.7109375" style="3" bestFit="1" customWidth="1"/>
    <col min="5" max="5" width="11" style="4" bestFit="1" customWidth="1"/>
    <col min="6" max="6" width="11" style="3" bestFit="1" customWidth="1"/>
    <col min="7" max="7" width="10.85546875" style="3" bestFit="1" customWidth="1"/>
    <col min="8" max="11" width="18.42578125" style="3" customWidth="1"/>
    <col min="12" max="13" width="28.7109375" style="3" customWidth="1"/>
    <col min="14" max="14" width="32.28515625" style="3" customWidth="1"/>
    <col min="15" max="15" width="30.42578125" style="3" customWidth="1"/>
    <col min="16" max="16" width="31.7109375" style="3" customWidth="1"/>
    <col min="17" max="17" width="30.42578125" style="3" customWidth="1"/>
    <col min="18" max="18" width="34.7109375" style="3" customWidth="1"/>
    <col min="19" max="19" width="31.42578125" style="3" customWidth="1"/>
    <col min="20" max="20" width="29.85546875" style="3" customWidth="1"/>
    <col min="21" max="22" width="31.42578125" style="3" customWidth="1"/>
    <col min="23" max="23" width="29.85546875" style="3" customWidth="1"/>
    <col min="24" max="24" width="24.7109375" style="3" customWidth="1"/>
    <col min="25" max="25" width="24.140625" style="4" customWidth="1"/>
    <col min="26" max="26" width="29.7109375" style="3" customWidth="1"/>
    <col min="27" max="27" width="28" style="4" customWidth="1"/>
    <col min="28" max="28" width="24.140625" style="3" customWidth="1"/>
    <col min="29" max="29" width="20.7109375" style="4" bestFit="1" customWidth="1"/>
    <col min="30" max="30" width="28" style="4" bestFit="1" customWidth="1"/>
    <col min="31" max="32" width="20.28515625" style="4" customWidth="1"/>
    <col min="33" max="33" width="32.7109375" style="4" bestFit="1" customWidth="1"/>
    <col min="34" max="34" width="32.5703125" style="4" bestFit="1" customWidth="1"/>
    <col min="35" max="35" width="24.5703125" style="4" customWidth="1"/>
    <col min="36" max="36" width="32.7109375" style="4" bestFit="1" customWidth="1"/>
    <col min="37" max="37" width="32.5703125" style="4" bestFit="1" customWidth="1"/>
    <col min="38" max="38" width="25.7109375" style="4" bestFit="1" customWidth="1"/>
    <col min="39" max="39" width="32.5703125" style="4" bestFit="1" customWidth="1"/>
    <col min="40" max="40" width="29.42578125" style="4" bestFit="1" customWidth="1"/>
    <col min="41" max="41" width="31.42578125" style="4" bestFit="1" customWidth="1"/>
    <col min="42" max="42" width="30.85546875" style="4" bestFit="1" customWidth="1"/>
    <col min="43" max="43" width="26.5703125" style="4" bestFit="1" customWidth="1"/>
    <col min="44" max="44" width="30.28515625" style="4" bestFit="1" customWidth="1"/>
    <col min="45" max="45" width="31" style="4" bestFit="1" customWidth="1"/>
    <col min="46" max="46" width="26.28515625" style="4" bestFit="1" customWidth="1"/>
    <col min="47" max="55" width="24.5703125" style="4" customWidth="1"/>
    <col min="56" max="16384" width="24.5703125" style="2"/>
  </cols>
  <sheetData>
    <row r="1" spans="1:55" ht="26.25" x14ac:dyDescent="0.2">
      <c r="A1" s="397" t="s">
        <v>61</v>
      </c>
      <c r="B1" s="409"/>
      <c r="C1" s="996" t="e">
        <f ca="1">IF(AND(AU5="Pass",AU6="Pass",AU7="Pass",AU8="Pass",AU10="Pass",AU11="Pass",AU12="Pass",AU13="Pass"),"Pass","Fail")</f>
        <v>#REF!</v>
      </c>
      <c r="D1" s="996"/>
      <c r="E1" s="996"/>
      <c r="F1" s="996"/>
      <c r="G1" s="996"/>
      <c r="H1" s="996"/>
      <c r="I1" s="996"/>
      <c r="J1" s="996"/>
      <c r="K1" s="996"/>
      <c r="L1" s="996"/>
      <c r="M1" s="996"/>
      <c r="N1" s="997"/>
      <c r="O1" s="997"/>
      <c r="P1" s="997"/>
      <c r="Q1" s="401"/>
      <c r="R1" s="401"/>
      <c r="S1" s="401"/>
      <c r="T1" s="401"/>
      <c r="U1" s="401"/>
      <c r="V1" s="401"/>
      <c r="W1" s="401"/>
      <c r="X1" s="401"/>
      <c r="Y1" s="401"/>
      <c r="Z1" s="402"/>
      <c r="AA1" s="401"/>
      <c r="AB1" s="402"/>
      <c r="AC1" s="402"/>
      <c r="AD1" s="402"/>
      <c r="AE1" s="402"/>
      <c r="AF1" s="402"/>
      <c r="AG1" s="402"/>
      <c r="AH1" s="402"/>
      <c r="AI1" s="402"/>
      <c r="AJ1" s="402"/>
      <c r="AK1" s="402"/>
      <c r="AL1" s="402"/>
      <c r="AM1" s="402"/>
      <c r="AN1" s="402"/>
      <c r="AO1" s="402"/>
      <c r="AP1" s="402"/>
      <c r="AQ1" s="402"/>
      <c r="AR1" s="402"/>
      <c r="AS1" s="402"/>
      <c r="AT1" s="403"/>
      <c r="AX1" s="2"/>
      <c r="AY1" s="2"/>
      <c r="AZ1" s="2"/>
      <c r="BA1" s="2"/>
      <c r="BB1" s="2"/>
      <c r="BC1" s="2"/>
    </row>
    <row r="2" spans="1:55" ht="26.25" x14ac:dyDescent="0.2">
      <c r="A2" s="404" t="s">
        <v>58</v>
      </c>
      <c r="B2" s="267" t="e">
        <f>#REF!</f>
        <v>#REF!</v>
      </c>
      <c r="C2" s="78"/>
      <c r="D2" s="76"/>
      <c r="E2" s="79"/>
      <c r="F2" s="79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410"/>
      <c r="V2" s="80"/>
      <c r="W2" s="80"/>
      <c r="X2" s="410"/>
      <c r="Y2" s="410"/>
      <c r="Z2" s="410"/>
      <c r="AA2" s="410"/>
      <c r="AB2" s="410"/>
      <c r="AC2" s="410"/>
      <c r="AD2" s="410"/>
      <c r="AE2" s="410"/>
      <c r="AF2" s="410"/>
      <c r="AG2" s="410"/>
      <c r="AH2" s="410"/>
      <c r="AI2" s="410"/>
      <c r="AJ2" s="410"/>
      <c r="AK2" s="410"/>
      <c r="AL2" s="410"/>
      <c r="AM2" s="410"/>
      <c r="AN2" s="410"/>
      <c r="AO2" s="410"/>
      <c r="AP2" s="410"/>
      <c r="AQ2" s="410"/>
      <c r="AR2" s="410"/>
      <c r="AS2" s="410"/>
      <c r="AT2" s="411"/>
      <c r="AU2" s="2"/>
      <c r="AV2" s="2"/>
      <c r="AW2" s="2"/>
      <c r="AX2" s="2"/>
      <c r="AY2" s="2"/>
      <c r="AZ2" s="2"/>
      <c r="BA2" s="2"/>
      <c r="BB2" s="2"/>
      <c r="BC2" s="2"/>
    </row>
    <row r="3" spans="1:55" ht="51" x14ac:dyDescent="0.2">
      <c r="A3" s="86" t="s">
        <v>456</v>
      </c>
      <c r="B3" s="86" t="s">
        <v>457</v>
      </c>
      <c r="C3" s="87" t="s">
        <v>458</v>
      </c>
      <c r="D3" s="87" t="e">
        <f>"Escape
Length L1 [" &amp; B2
&amp;"]"</f>
        <v>#REF!</v>
      </c>
      <c r="E3" s="87" t="e">
        <f>"Breakout
Length L2
[" &amp;B2 &amp;"]"</f>
        <v>#REF!</v>
      </c>
      <c r="F3" s="87" t="e">
        <f>"Main
Length L3
[" &amp;B2 &amp;"]"</f>
        <v>#REF!</v>
      </c>
      <c r="G3" s="87" t="e">
        <f>"Breakin
Length S1
[" &amp;B2 &amp;"]"</f>
        <v>#REF!</v>
      </c>
      <c r="H3" s="107" t="e">
        <f>"Stripline Length to SDRAM L4 Top [" &amp; B2 &amp; "]"</f>
        <v>#REF!</v>
      </c>
      <c r="I3" s="107" t="e">
        <f>"Stripline Length to SDRAM L4 Bottom [" &amp;B2&amp;"]"</f>
        <v>#REF!</v>
      </c>
      <c r="J3" s="107" t="e">
        <f>"Breakin to SDRAM L5 Top ["&amp;B2&amp;"]"</f>
        <v>#REF!</v>
      </c>
      <c r="K3" s="107" t="e">
        <f>"Breakin to SDRAM L5 Bottom ["&amp;B2&amp;"]"</f>
        <v>#REF!</v>
      </c>
      <c r="L3" s="107" t="e">
        <f>"Stripline Route to Rload L6  Top ["&amp;B2&amp;"]"</f>
        <v>#REF!</v>
      </c>
      <c r="M3" s="107" t="e">
        <f>"Stripline Route to Rload L6  Bottom ["&amp;B2&amp;"]"</f>
        <v>#REF!</v>
      </c>
      <c r="N3" s="107" t="e">
        <f>"Breakin to Rload L7 Top ["&amp;B2&amp;"]"</f>
        <v>#REF!</v>
      </c>
      <c r="O3" s="107" t="e">
        <f>"Breakin to Rload L7 Bottom ["&amp;B2&amp;"]"</f>
        <v>#REF!</v>
      </c>
      <c r="P3" s="89" t="e">
        <f>"Total MB Length
(SODIMM -&gt; L1+L2+L3+S1) or (SDRAM Top -&gt; L1+L2+L3+L4+L5)
[" &amp;B2 &amp;"]"</f>
        <v>#REF!</v>
      </c>
      <c r="Q3" s="89" t="e">
        <f>"Total MB Length
 (SDRAM Bottom -&gt; L1+L2+L3+L4+L5)
[" &amp;B2 &amp;"]"</f>
        <v>#REF!</v>
      </c>
      <c r="R3" s="88" t="e">
        <f>"Total channel length including GMCH package length 
(SODIMM -&gt; P1+L1+L2+L3+S1) or (SDRAM Top -&gt; P1+L1+L2+L3+L4+L5)
[" &amp;B2 &amp;"]"</f>
        <v>#REF!</v>
      </c>
      <c r="S3" s="88" t="e">
        <f>"Total channel length including GMCH package length 
(SDRAM Bottom -&gt; P1+L1+L2+L3+L4+L5)
[" &amp;B2 &amp;"]"</f>
        <v>#REF!</v>
      </c>
      <c r="T3" s="88" t="e">
        <f>"Target CSFF 
Pad-to-SODIMM or SDRAM Top Pin 
Length 
[" &amp;B2 &amp;"]"</f>
        <v>#REF!</v>
      </c>
      <c r="U3" s="88" t="e">
        <f>"Routed Too Short [" &amp;B2 &amp;"]"</f>
        <v>#REF!</v>
      </c>
      <c r="V3" s="88" t="e">
        <f>"Routed Too Long [" &amp;B2 &amp;"]"</f>
        <v>#REF!</v>
      </c>
      <c r="W3" s="88" t="e">
        <f>"Target CSFF 
Pad-to-SDRAM Bottom Pin 
Length 
[" &amp;B2 &amp;"]"</f>
        <v>#REF!</v>
      </c>
      <c r="X3" s="88" t="e">
        <f>"Routed Too Short [" &amp;B2 &amp;"]"</f>
        <v>#REF!</v>
      </c>
      <c r="Y3" s="88" t="e">
        <f>"Routed Too Long [" &amp;B2 &amp;"]"</f>
        <v>#REF!</v>
      </c>
      <c r="Z3" s="88" t="e">
        <f>"L1 Length Test
(&lt;="&amp; IF(B2="mil",1,0.0254)*50 &amp; B2 &amp;")"</f>
        <v>#REF!</v>
      </c>
      <c r="AA3" s="88" t="e">
        <f>"L2 Length Test  (&lt;="&amp;IF($B$2="mil",1,0.0254)*500&amp;$B$2&amp;")"</f>
        <v>#REF!</v>
      </c>
      <c r="AB3" s="88" t="e">
        <f>"S1 Length Test
(&lt;="&amp;IF($B$2="mil",1,0.0254)*200&amp;$B$2&amp;")"</f>
        <v>#REF!</v>
      </c>
      <c r="AC3" s="88" t="e">
        <f>"L4 Top Length Test  (&lt;="&amp;IF($B$2="mil",1,0.0254)*500&amp;$B$2&amp;")"&amp;" or (L4+L5&lt;="&amp;IF($B$2="mil",1,0.0254)*700&amp;$B$2&amp;")"</f>
        <v>#REF!</v>
      </c>
      <c r="AD3" s="88" t="e">
        <f>"L4 Bottom Length Test  (&lt;="&amp;IF($B$2="mil",1,0.0254)*500&amp;$B$2&amp;")"&amp;" or (L4+L5&lt;="&amp;IF($B$2="mil",1,0.0254)*700&amp;$B$2&amp;")"</f>
        <v>#REF!</v>
      </c>
      <c r="AE3" s="88" t="e">
        <f>"L5 Top Length Test  (&lt;="&amp;IF($B$2="mil",1,0.0254)*200&amp;$B$2&amp;")"</f>
        <v>#REF!</v>
      </c>
      <c r="AF3" s="88" t="e">
        <f>"L5 Bottom Length Test  (&lt;="&amp;IF($B$2="mil",1,0.0254)*200&amp;$B$2&amp;")"</f>
        <v>#REF!</v>
      </c>
      <c r="AG3" s="88" t="e">
        <f>"L5 Matching Test (Maximum L5 - Minimum L5 &lt;="&amp;IF($B$2="mil",1,0.0254)*50&amp;IF($B$2="mil","mil","mm")&amp;") 
Note: Neg is too long, Pos is too short"</f>
        <v>#REF!</v>
      </c>
      <c r="AH3" s="88" t="e">
        <f>"L6 Top Length Test  (&lt;="&amp;IF($B$2="mil",1,0.0254)*250&amp;$B$2&amp;")"</f>
        <v>#REF!</v>
      </c>
      <c r="AI3" s="88" t="e">
        <f>"L6 Bottom Length Test  (&lt;="&amp;IF($B$2="mil",1,0.0254)*250&amp;$B$2&amp;")"</f>
        <v>#REF!</v>
      </c>
      <c r="AJ3" s="88" t="e">
        <f>"L7 Top Length Test  (&lt;="&amp;IF($B$2="mil",1,0.0254)*50&amp;$B$2&amp;")"</f>
        <v>#REF!</v>
      </c>
      <c r="AK3" s="88" t="e">
        <f>"L7 Bottom Length Test  (&lt;="&amp;IF($B$2="mil",1,0.0254)*50&amp;$B$2&amp;")"</f>
        <v>#REF!</v>
      </c>
      <c r="AL3" s="88" t="e">
        <f>"Total MB Length to Top SDRAM
(L1+L2+L3+L4+L5) 
Test 
(" &amp; IF($B$2="mil",1,25.4)*0.5&amp;IF($B$2="mil","in","mm") &amp;"-"&amp; IF($B$2="mil",1,25.4)*5&amp;IF($B$2="mil","in","mm")&amp;")"</f>
        <v>#REF!</v>
      </c>
      <c r="AM3" s="88" t="e">
        <f>"Total Length to Top SDRAM
(P1+L1+L2+L3+L4+L5)
Test
(&lt;="&amp;IF($B$2="mil",1,25.4)*5.5&amp;IF($B$2="mil","in","mm")&amp;")"</f>
        <v>#REF!</v>
      </c>
      <c r="AN3" s="88" t="e">
        <f>"Total MB Length to Bottom SDRAM
(L1+L2+L3+L4+L5) 
Test 
(" &amp; IF($B$2="mil",1,25.4)*0.5&amp;IF($B$2="mil","in","mm") &amp;"-"&amp; IF($B$2="mil",1,25.4)*5&amp;IF($B$2="mil","in","mm")&amp;")"</f>
        <v>#REF!</v>
      </c>
      <c r="AO3" s="88" t="e">
        <f>"Total Length to Bottom SDRAM
(P1+L1+L2+L3+L4+L5)
Test
(&lt;="&amp;IF($B$2="mil",1,25.4)*5.5&amp;IF($B$2="mil","in","mm")&amp;")"</f>
        <v>#REF!</v>
      </c>
      <c r="AP3" s="88" t="e">
        <f>"Total MB Length to SODIMM
(L0+L1+L2+S1) 
Test 
(" &amp; IF($B$2="mil",1,25.4)*0.5&amp;IF($B$2="mil","in","mm") &amp;"-"&amp; IF($B$2="mil",1,25.4)*3.25&amp;IF($B$2="mil","in","mm")&amp;")"</f>
        <v>#REF!</v>
      </c>
      <c r="AQ3" s="88" t="e">
        <f>"Total Length to SODIMM
(P1+L0+L1+L2+S1)
Test
(&lt;="&amp;IF($B$2="mil",1,25.4)*4&amp;IF($B$2="mil","in","mm")&amp;")"</f>
        <v>#REF!</v>
      </c>
      <c r="AR3" s="88" t="e">
        <f>"SCK-SCK# 
Length Test  to SODIMM or Top SDRAM
(&lt;="&amp;IF($B$2="mil",1,25.4)*5&amp;IF($B$2="mil","mil","mm")&amp;")"</f>
        <v>#REF!</v>
      </c>
      <c r="AS3" s="88" t="e">
        <f>"SCK-SCK# 
Length Test  Bottom SDRAM
(&lt;="&amp;IF($B$2="mil",1,25.4)*5&amp;IF($B$2="mil","mil","mm")&amp;")"</f>
        <v>#REF!</v>
      </c>
      <c r="AT3" s="88" t="e">
        <f>"Clock Pair to Clock Pair Length Test at SODIMM (&lt;="&amp;IF($B$2="mil",1,25.4)*20&amp;IF($B$2="mil","mil","mm")&amp;")"</f>
        <v>#REF!</v>
      </c>
      <c r="AU3" s="2"/>
      <c r="AV3" s="2"/>
      <c r="AW3" s="2"/>
      <c r="AX3" s="2"/>
      <c r="AY3" s="2"/>
      <c r="AZ3" s="2"/>
      <c r="BA3" s="2"/>
      <c r="BB3" s="2"/>
      <c r="BC3" s="2"/>
    </row>
    <row r="4" spans="1:55" x14ac:dyDescent="0.2">
      <c r="A4" s="94" t="s">
        <v>255</v>
      </c>
      <c r="B4" s="94"/>
      <c r="C4" s="7"/>
      <c r="D4" s="9"/>
      <c r="E4" s="9"/>
      <c r="F4" s="113"/>
      <c r="G4" s="113"/>
      <c r="H4" s="11"/>
      <c r="I4" s="11"/>
      <c r="J4" s="11"/>
      <c r="K4" s="11"/>
      <c r="L4" s="11"/>
      <c r="M4" s="11"/>
      <c r="N4" s="11"/>
      <c r="O4" s="11"/>
      <c r="P4" s="11"/>
      <c r="Q4" s="11"/>
      <c r="R4" s="8"/>
      <c r="S4" s="8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0"/>
      <c r="AQ4" s="120"/>
      <c r="AR4" s="12"/>
      <c r="AS4" s="12"/>
      <c r="AT4" s="239"/>
      <c r="AU4" s="2"/>
      <c r="AV4" s="2"/>
      <c r="AW4" s="2"/>
      <c r="AX4" s="2"/>
      <c r="AY4" s="2"/>
      <c r="AZ4" s="2"/>
      <c r="BA4" s="2"/>
      <c r="BB4" s="2"/>
      <c r="BC4" s="2"/>
    </row>
    <row r="5" spans="1:55" x14ac:dyDescent="0.2">
      <c r="A5" s="92" t="s">
        <v>289</v>
      </c>
      <c r="B5" s="247" t="s">
        <v>461</v>
      </c>
      <c r="C5" s="556">
        <v>911.14173228346465</v>
      </c>
      <c r="D5" s="17">
        <v>29.7</v>
      </c>
      <c r="E5" s="17">
        <v>0</v>
      </c>
      <c r="F5" s="270">
        <v>2160</v>
      </c>
      <c r="G5" s="47"/>
      <c r="H5" s="270">
        <v>517.29</v>
      </c>
      <c r="I5" s="270">
        <v>195.36</v>
      </c>
      <c r="J5" s="270">
        <v>76.06</v>
      </c>
      <c r="K5" s="270">
        <v>106.06</v>
      </c>
      <c r="L5" s="17">
        <v>0</v>
      </c>
      <c r="M5" s="17">
        <v>0</v>
      </c>
      <c r="N5" s="271">
        <v>44.95</v>
      </c>
      <c r="O5" s="271">
        <v>49.8</v>
      </c>
      <c r="P5" s="441">
        <f xml:space="preserve"> SUM(D5:F5,H5,J5)</f>
        <v>2783.0499999999997</v>
      </c>
      <c r="Q5" s="461">
        <f xml:space="preserve"> SUM(D5:F5,,I5,K5)</f>
        <v>2491.12</v>
      </c>
      <c r="R5" s="441" t="e">
        <f>IF($B$2="mil",1,0.0254)*C5+P5</f>
        <v>#REF!</v>
      </c>
      <c r="S5" s="441" t="e">
        <f>IF($B$2="mil",1,0.0254)*C5+Q5</f>
        <v>#REF!</v>
      </c>
      <c r="T5" s="442">
        <f>$E$15</f>
        <v>3700</v>
      </c>
      <c r="U5" s="443" t="e">
        <f>IF($T5-$R5&lt;IF($B$2="mil",1,0.0254)*10,"Pass",$T5-$R5-IF($B$2="mil",1,0.0254)*5)</f>
        <v>#REF!</v>
      </c>
      <c r="V5" s="462" t="e">
        <f>IF($R5-$T5&lt;IF($B$2="mil",1,0.0254)*10,"Pass",$R5-$T5-IF($B$2="mil",1,0.0254)*5)</f>
        <v>#REF!</v>
      </c>
      <c r="W5" s="442">
        <f>$E$16</f>
        <v>3400</v>
      </c>
      <c r="X5" s="443" t="e">
        <f>IF($W5-$S5&lt;IF($B$2="mil",1,0.0254)*10,"Pass",$W5-$S5-IF($B$2="mil",1,0.0254)*5)</f>
        <v>#REF!</v>
      </c>
      <c r="Y5" s="462" t="e">
        <f>IF($S5-$W5&lt;IF($B$2="mil",1,0.0254)*10,"Pass",$S5-$W5-IF($B$2="mil",1,0.0254)*5)</f>
        <v>#REF!</v>
      </c>
      <c r="Z5" s="445" t="e">
        <f>IF($D5&lt;=IF($B$2="mil",1,0.0254)*50,"Pass",IF($B$2="mil",1,0.0254)*50-$D5)</f>
        <v>#REF!</v>
      </c>
      <c r="AA5" s="445" t="e">
        <f>IF($E5&lt;=IF($B$2="mil",1,0.0254)*500,"Pass",IF($B$2="mil",1,0.0254)*500-$E5)</f>
        <v>#REF!</v>
      </c>
      <c r="AB5" s="446"/>
      <c r="AC5" s="447" t="e">
        <f t="shared" ref="AC5:AD8" ca="1" si="0">CheckLength(IF($B$2="mil",1,0.0254)*500, IF($B$2="mil",1,0.0254)*150-J5, 0, H5,J5,0)</f>
        <v>#NAME?</v>
      </c>
      <c r="AD5" s="447" t="e">
        <f t="shared" ca="1" si="0"/>
        <v>#NAME?</v>
      </c>
      <c r="AE5" s="445" t="e">
        <f t="shared" ref="AE5:AF8" ca="1" si="1">CheckLength2(IF($B$2="mil",1,0.0254)*700,H5,J5,0)</f>
        <v>#NAME?</v>
      </c>
      <c r="AF5" s="445" t="e">
        <f t="shared" ca="1" si="1"/>
        <v>#NAME?</v>
      </c>
      <c r="AG5" s="445" t="e">
        <f>IF(MAX(J$5:K$6)-MIN(J$5:K$6)&lt;=IF($B$2="mil",1,0.0254)*50,"Pass",MAX(J$5:K$6)-MIN($J5:$K5)-IF($B$2="mil",1,0.0254)*50)</f>
        <v>#REF!</v>
      </c>
      <c r="AH5" s="445" t="e">
        <f>IF($L5&lt;=IF($B$2="mil",1,0.0254)*250,"Pass",IF($B$2="mil",1,0.0254)*250-$L5)</f>
        <v>#REF!</v>
      </c>
      <c r="AI5" s="445" t="e">
        <f>IF($M5&lt;=IF($B$2="mil",1,0.0254)*250,"Pass",IF($B$2="mil",1,0.0254)*250-$M5)</f>
        <v>#REF!</v>
      </c>
      <c r="AJ5" s="445" t="e">
        <f>IF($N5&lt;=IF($B$2="mil",1,0.0254)*50,"Pass",IF($B$2="mil",1,0.0254)*50-$N5)</f>
        <v>#REF!</v>
      </c>
      <c r="AK5" s="445" t="e">
        <f>IF($O5&lt;=IF($B$2="mil",1,0.0254)*50,"Pass",IF($B$2="mil",1,0.0254)*50-$O5)</f>
        <v>#REF!</v>
      </c>
      <c r="AL5" s="447" t="e">
        <f>IF(AND($P5&gt;=IF($B$2="mil",1,0.0254)*500, $P5&lt;=IF($B$2="mil",1,0.0254)*5000),"Pass",IF(($P5&gt;=IF($B$2="mil",1,0.0254)*500), IF($B$2="mil",1,0.0254)*5000-$P5, IF($B$2="mil",1,0.0254)*500-$P5))</f>
        <v>#REF!</v>
      </c>
      <c r="AM5" s="447" t="e">
        <f>IF( $R5&lt;=IF($B$2="mil",1,0.0254)*5500,"Pass", IF($B$2="mil",1,0.0254)*5500-$R5)</f>
        <v>#REF!</v>
      </c>
      <c r="AN5" s="447" t="e">
        <f>IF(AND($Q5&gt;=IF($B$2="mil",1,0.0254)*500, $Q5&lt;=IF($B$2="mil",1,0.0254)*5000),"Pass",IF(($Q5&gt;=IF($B$2="mil",1,0.0254)*500), IF($B$2="mil",1,0.0254)*5000-$Q5, IF($B$2="mil",1,0.0254)*500-$Q5))</f>
        <v>#REF!</v>
      </c>
      <c r="AO5" s="447" t="e">
        <f>IF( $S5&lt;=IF($B$2="mil",1,0.0254)*5500,"Pass", IF($B$2="mil",1,0.0254)*5500-$S5)</f>
        <v>#REF!</v>
      </c>
      <c r="AP5" s="448"/>
      <c r="AQ5" s="241"/>
      <c r="AR5" s="449" t="e">
        <f>IF((ABS($R5-$R6)&lt;=IF($B$2="mil",1,0.0254)*5),"Pass",ABS($R5-$R6))</f>
        <v>#REF!</v>
      </c>
      <c r="AS5" s="449" t="e">
        <f>IF((ABS($S5-$S6)&lt;=IF($B$2="mil",1,0.0254)*5),"Pass",ABS($S5-$S6))</f>
        <v>#REF!</v>
      </c>
      <c r="AT5" s="241"/>
      <c r="AU5" s="2" t="e">
        <f ca="1">IF(AND(X5="Pass",Y5="Pass",Z5="Pass",AA5="Pass",AC5="Pass",AD5="Pass",AE5="Pass",AF5="Pass",AG5="Pass",AH5="Pass",AI5="Pass",AJ5="Pass",AK5="Pass",AL5="Pass",AM5="Pass",AN5="Pass",AO5="Pass",AR5="Pass",AS5="Pass",U5="Pass",V5="Pass"),"Pass","Fail")</f>
        <v>#REF!</v>
      </c>
      <c r="AV5" s="2"/>
      <c r="AW5" s="2"/>
      <c r="AX5" s="2"/>
      <c r="AY5" s="2"/>
      <c r="AZ5" s="2"/>
      <c r="BA5" s="2"/>
      <c r="BB5" s="2"/>
      <c r="BC5" s="2"/>
    </row>
    <row r="6" spans="1:55" x14ac:dyDescent="0.2">
      <c r="A6" s="92" t="s">
        <v>290</v>
      </c>
      <c r="B6" s="247" t="s">
        <v>464</v>
      </c>
      <c r="C6" s="556">
        <v>911.18110236220468</v>
      </c>
      <c r="D6" s="17">
        <v>29.7</v>
      </c>
      <c r="E6" s="17">
        <v>0</v>
      </c>
      <c r="F6" s="270">
        <v>2160</v>
      </c>
      <c r="G6" s="47"/>
      <c r="H6" s="270">
        <v>517.29</v>
      </c>
      <c r="I6" s="270">
        <v>195.36</v>
      </c>
      <c r="J6" s="270">
        <v>76.06</v>
      </c>
      <c r="K6" s="270">
        <v>106.06</v>
      </c>
      <c r="L6" s="17">
        <v>0</v>
      </c>
      <c r="M6" s="17">
        <v>0</v>
      </c>
      <c r="N6" s="271">
        <v>45.37</v>
      </c>
      <c r="O6" s="271">
        <v>36.869999999999997</v>
      </c>
      <c r="P6" s="441">
        <f xml:space="preserve"> SUM(D6:F6,H6,J6)</f>
        <v>2783.0499999999997</v>
      </c>
      <c r="Q6" s="461">
        <f xml:space="preserve"> SUM(D6:F6,,I6,K6)</f>
        <v>2491.12</v>
      </c>
      <c r="R6" s="441" t="e">
        <f>IF($B$2="mil",1,0.0254)*C6+P6</f>
        <v>#REF!</v>
      </c>
      <c r="S6" s="441" t="e">
        <f>IF($B$2="mil",1,0.0254)*C6+Q6</f>
        <v>#REF!</v>
      </c>
      <c r="T6" s="442">
        <f>$E$15</f>
        <v>3700</v>
      </c>
      <c r="U6" s="443" t="e">
        <f>IF($T6-$R6&lt;IF($B$2="mil",1,0.0254)*10,"Pass",$T6-$R6-IF($B$2="mil",1,0.0254)*5)</f>
        <v>#REF!</v>
      </c>
      <c r="V6" s="462" t="e">
        <f>IF($R6-$T6&lt;IF($B$2="mil",1,0.0254)*10,"Pass",$R6-$T6-IF($B$2="mil",1,0.0254)*5)</f>
        <v>#REF!</v>
      </c>
      <c r="W6" s="442">
        <f>$E$16</f>
        <v>3400</v>
      </c>
      <c r="X6" s="443" t="e">
        <f>IF($W6-$S6&lt;IF($B$2="mil",1,0.0254)*10,"Pass",$W6-$S6-IF($B$2="mil",1,0.0254)*5)</f>
        <v>#REF!</v>
      </c>
      <c r="Y6" s="462" t="e">
        <f>IF($S6-$W6&lt;IF($B$2="mil",1,0.0254)*10,"Pass",$S6-$W6-IF($B$2="mil",1,0.0254)*5)</f>
        <v>#REF!</v>
      </c>
      <c r="Z6" s="445" t="e">
        <f>IF($D6&lt;=IF($B$2="mil",1,0.0254)*50,"Pass",IF($B$2="mil",1,0.0254)*50-$D6)</f>
        <v>#REF!</v>
      </c>
      <c r="AA6" s="445" t="e">
        <f>IF($E6&lt;=IF($B$2="mil",1,0.0254)*500,"Pass",IF($B$2="mil",1,0.0254)*500-$E6)</f>
        <v>#REF!</v>
      </c>
      <c r="AB6" s="451"/>
      <c r="AC6" s="447" t="e">
        <f t="shared" ca="1" si="0"/>
        <v>#NAME?</v>
      </c>
      <c r="AD6" s="447" t="e">
        <f t="shared" ca="1" si="0"/>
        <v>#NAME?</v>
      </c>
      <c r="AE6" s="445" t="e">
        <f t="shared" ca="1" si="1"/>
        <v>#NAME?</v>
      </c>
      <c r="AF6" s="445" t="e">
        <f t="shared" ca="1" si="1"/>
        <v>#NAME?</v>
      </c>
      <c r="AG6" s="445" t="e">
        <f>IF(MAX(J$5:K$6)-MIN(J$5:K$6)&lt;=IF($B$2="mil",1,0.0254)*50,"Pass",MAX(J$5:K$6)-MIN($J6:$K6)-IF($B$2="mil",1,0.0254)*50)</f>
        <v>#REF!</v>
      </c>
      <c r="AH6" s="445" t="e">
        <f>IF($L6&lt;=IF($B$2="mil",1,0.0254)*250,"Pass",IF($B$2="mil",1,0.0254)*250-$L6)</f>
        <v>#REF!</v>
      </c>
      <c r="AI6" s="445" t="e">
        <f>IF($M6&lt;=IF($B$2="mil",1,0.0254)*250,"Pass",IF($B$2="mil",1,0.0254)*250-$M6)</f>
        <v>#REF!</v>
      </c>
      <c r="AJ6" s="445" t="e">
        <f>IF($N6&lt;=IF($B$2="mil",1,0.0254)*50,"Pass",IF($B$2="mil",1,0.0254)*50-$N6)</f>
        <v>#REF!</v>
      </c>
      <c r="AK6" s="445" t="e">
        <f>IF($O6&lt;=IF($B$2="mil",1,0.0254)*50,"Pass",IF($B$2="mil",1,0.0254)*50-$O6)</f>
        <v>#REF!</v>
      </c>
      <c r="AL6" s="447" t="e">
        <f>IF(AND($P6&gt;=IF($B$2="mil",1,0.0254)*500, $P6&lt;=IF($B$2="mil",1,0.0254)*5000),"Pass",IF(($P6&gt;=IF($B$2="mil",1,0.0254)*500), IF($B$2="mil",1,0.0254)*5000-$P6, IF($B$2="mil",1,0.0254)*500-$P6))</f>
        <v>#REF!</v>
      </c>
      <c r="AM6" s="447" t="e">
        <f>IF( $R6&lt;=IF($B$2="mil",1,0.0254)*5500,"Pass", IF($B$2="mil",1,0.0254)*5500-$R6)</f>
        <v>#REF!</v>
      </c>
      <c r="AN6" s="447" t="e">
        <f>IF(AND($Q6&gt;=IF($B$2="mil",1,0.0254)*500, $Q6&lt;=IF($B$2="mil",1,0.0254)*5000),"Pass",IF(($Q6&gt;=IF($B$2="mil",1,0.0254)*500), IF($B$2="mil",1,0.0254)*5000-$Q6, IF($B$2="mil",1,0.0254)*500-$Q6))</f>
        <v>#REF!</v>
      </c>
      <c r="AO6" s="447" t="e">
        <f>IF( $S6&lt;=IF($B$2="mil",1,0.0254)*5500,"Pass", IF($B$2="mil",1,0.0254)*5500-$S6)</f>
        <v>#REF!</v>
      </c>
      <c r="AP6" s="452"/>
      <c r="AQ6" s="331"/>
      <c r="AR6" s="449" t="e">
        <f>IF((ABS($R6-$R5)&lt;=IF($B$2="mil",1,0.0254)*5),"Pass",ABS($R6-$R5))</f>
        <v>#REF!</v>
      </c>
      <c r="AS6" s="449" t="e">
        <f>IF((ABS($S6-$S5)&lt;=IF($B$2="mil",1,0.0254)*5),"Pass",ABS($S6-$S5))</f>
        <v>#REF!</v>
      </c>
      <c r="AT6" s="331"/>
      <c r="AU6" s="2" t="e">
        <f ca="1">IF(AND(X6="Pass",Y6="Pass",Z6="Pass",AA6="Pass",AC6="Pass",AD6="Pass",AE6="Pass",AF6="Pass",AG6="Pass",AH6="Pass",AI6="Pass",AJ6="Pass",AK6="Pass",AL6="Pass",AM6="Pass",AN6="Pass",AO6="Pass",AR6="Pass",AS6="Pass",U6="Pass",V6="Pass"),"Pass","Fail")</f>
        <v>#REF!</v>
      </c>
      <c r="AV6" s="2"/>
      <c r="AW6" s="2"/>
      <c r="AX6" s="2"/>
      <c r="AY6" s="2"/>
      <c r="AZ6" s="2"/>
      <c r="BA6" s="2"/>
      <c r="BB6" s="2"/>
      <c r="BC6" s="2"/>
    </row>
    <row r="7" spans="1:55" ht="13.5" customHeight="1" x14ac:dyDescent="0.2">
      <c r="A7" s="92" t="s">
        <v>291</v>
      </c>
      <c r="B7" s="247" t="s">
        <v>162</v>
      </c>
      <c r="C7" s="556">
        <v>1036.1417322834648</v>
      </c>
      <c r="D7" s="17">
        <v>29.7</v>
      </c>
      <c r="E7" s="17">
        <v>0</v>
      </c>
      <c r="F7" s="270">
        <v>2025</v>
      </c>
      <c r="G7" s="47"/>
      <c r="H7" s="270">
        <v>240.24</v>
      </c>
      <c r="I7" s="270">
        <v>536.54999999999995</v>
      </c>
      <c r="J7" s="270">
        <v>76.16</v>
      </c>
      <c r="K7" s="270">
        <v>71.11</v>
      </c>
      <c r="L7" s="17">
        <v>0</v>
      </c>
      <c r="M7" s="17">
        <v>0</v>
      </c>
      <c r="N7" s="271">
        <v>36.630000000000003</v>
      </c>
      <c r="O7" s="271">
        <v>44.55</v>
      </c>
      <c r="P7" s="441">
        <f xml:space="preserve"> SUM(D7:F7,H7,J7)</f>
        <v>2371.0999999999995</v>
      </c>
      <c r="Q7" s="461">
        <f xml:space="preserve"> SUM(D7:F7,,I7,K7)</f>
        <v>2662.36</v>
      </c>
      <c r="R7" s="441" t="e">
        <f>IF($B$2="mil",1,0.0254)*C7+P7</f>
        <v>#REF!</v>
      </c>
      <c r="S7" s="441" t="e">
        <f>IF($B$2="mil",1,0.0254)*C7+Q7</f>
        <v>#REF!</v>
      </c>
      <c r="T7" s="442">
        <f>$E$17</f>
        <v>3400</v>
      </c>
      <c r="U7" s="443" t="e">
        <f>IF($T7-$R7&lt;IF($B$2="mil",1,0.0254)*10,"Pass",$T7-$R7-IF($B$2="mil",1,0.0254)*5)</f>
        <v>#REF!</v>
      </c>
      <c r="V7" s="462" t="e">
        <f>IF($R7-$T7&lt;IF($B$2="mil",1,0.0254)*10,"Pass",$R7-$T7-IF($B$2="mil",1,0.0254)*5)</f>
        <v>#REF!</v>
      </c>
      <c r="W7" s="442">
        <f>$E$15</f>
        <v>3700</v>
      </c>
      <c r="X7" s="443" t="e">
        <f>IF($W7-$S7&lt;IF($B$2="mil",1,0.0254)*10,"Pass",$W7-$S7-IF($B$2="mil",1,0.0254)*5)</f>
        <v>#REF!</v>
      </c>
      <c r="Y7" s="462" t="e">
        <f>IF($S7-$W7&lt;IF($B$2="mil",1,0.0254)*10,"Pass",$S7-$W7-IF($B$2="mil",1,0.0254)*5)</f>
        <v>#REF!</v>
      </c>
      <c r="Z7" s="445" t="e">
        <f>IF($D7&lt;=IF($B$2="mil",1,0.0254)*50,"Pass",IF($B$2="mil",1,0.0254)*50-$D7)</f>
        <v>#REF!</v>
      </c>
      <c r="AA7" s="445" t="e">
        <f>IF($E7&lt;=IF($B$2="mil",1,0.0254)*500,"Pass",IF($B$2="mil",1,0.0254)*500-$E7)</f>
        <v>#REF!</v>
      </c>
      <c r="AB7" s="451"/>
      <c r="AC7" s="447" t="e">
        <f t="shared" ca="1" si="0"/>
        <v>#NAME?</v>
      </c>
      <c r="AD7" s="447" t="e">
        <f t="shared" ca="1" si="0"/>
        <v>#NAME?</v>
      </c>
      <c r="AE7" s="445" t="e">
        <f t="shared" ca="1" si="1"/>
        <v>#NAME?</v>
      </c>
      <c r="AF7" s="445" t="e">
        <f t="shared" ca="1" si="1"/>
        <v>#NAME?</v>
      </c>
      <c r="AG7" s="445" t="e">
        <f>IF(MAX(J$7:K$8)-MIN(J$7:K$8)&lt;=IF($B$2="mil",1,0.0254)*50,"Pass",MAX(J$7:K$8)-MIN($J7:$K7)-IF($B$2="mil",1,0.0254)*50)</f>
        <v>#REF!</v>
      </c>
      <c r="AH7" s="445" t="e">
        <f>IF($L7&lt;=IF($B$2="mil",1,0.0254)*250,"Pass",IF($B$2="mil",1,0.0254)*250-$L7)</f>
        <v>#REF!</v>
      </c>
      <c r="AI7" s="445" t="e">
        <f>IF($M7&lt;=IF($B$2="mil",1,0.0254)*250,"Pass",IF($B$2="mil",1,0.0254)*250-$M7)</f>
        <v>#REF!</v>
      </c>
      <c r="AJ7" s="445" t="e">
        <f>IF($N7&lt;=IF($B$2="mil",1,0.0254)*50,"Pass",IF($B$2="mil",1,0.0254)*50-$N7)</f>
        <v>#REF!</v>
      </c>
      <c r="AK7" s="445" t="e">
        <f>IF($O7&lt;=IF($B$2="mil",1,0.0254)*50,"Pass",IF($B$2="mil",1,0.0254)*50-$O7)</f>
        <v>#REF!</v>
      </c>
      <c r="AL7" s="447" t="e">
        <f>IF(AND($P7&gt;=IF($B$2="mil",1,0.0254)*500, $P7&lt;=IF($B$2="mil",1,0.0254)*5000),"Pass",IF(($P7&gt;=IF($B$2="mil",1,0.0254)*500), IF($B$2="mil",1,0.0254)*5000-$P7, IF($B$2="mil",1,0.0254)*500-$P7))</f>
        <v>#REF!</v>
      </c>
      <c r="AM7" s="447" t="e">
        <f>IF( $R7&lt;=IF($B$2="mil",1,0.0254)*5500,"Pass", IF($B$2="mil",1,0.0254)*5500-$R7)</f>
        <v>#REF!</v>
      </c>
      <c r="AN7" s="447" t="e">
        <f>IF(AND($Q7&gt;=IF($B$2="mil",1,0.0254)*500, $Q7&lt;=IF($B$2="mil",1,0.0254)*5000),"Pass",IF(($Q7&gt;=IF($B$2="mil",1,0.0254)*500), IF($B$2="mil",1,0.0254)*5000-$Q7, IF($B$2="mil",1,0.0254)*500-$Q7))</f>
        <v>#REF!</v>
      </c>
      <c r="AO7" s="447" t="e">
        <f>IF( $S7&lt;=IF($B$2="mil",1,0.0254)*5500,"Pass", IF($B$2="mil",1,0.0254)*5500-$S7)</f>
        <v>#REF!</v>
      </c>
      <c r="AP7" s="452"/>
      <c r="AQ7" s="331"/>
      <c r="AR7" s="449" t="e">
        <f>IF((ABS($R7-$R8)&lt;=IF($B$2="mil",1,0.0254)*5),"Pass",ABS($R7-$R8))</f>
        <v>#REF!</v>
      </c>
      <c r="AS7" s="449" t="e">
        <f>IF((ABS($S7-$S8)&lt;=IF($B$2="mil",1,0.0254)*5),"Pass",ABS($S7-$S8))</f>
        <v>#REF!</v>
      </c>
      <c r="AT7" s="331"/>
      <c r="AU7" s="2" t="e">
        <f ca="1">IF(AND(X7="Pass",Y7="Pass",Z7="Pass",AA7="Pass",AC7="Pass",AD7="Pass",AE7="Pass",AF7="Pass",AG7="Pass",AH7="Pass",AI7="Pass",AJ7="Pass",AK7="Pass",AL7="Pass",AM7="Pass",AN7="Pass",AO7="Pass",AR7="Pass",AS7="Pass",U7="Pass",V7="Pass"),"Pass","Fail")</f>
        <v>#REF!</v>
      </c>
      <c r="AV7" s="2"/>
      <c r="AW7" s="2"/>
      <c r="AX7" s="2"/>
      <c r="AY7" s="2"/>
      <c r="AZ7" s="2"/>
      <c r="BA7" s="2"/>
      <c r="BB7" s="2"/>
      <c r="BC7" s="2"/>
    </row>
    <row r="8" spans="1:55" x14ac:dyDescent="0.2">
      <c r="A8" s="92" t="s">
        <v>292</v>
      </c>
      <c r="B8" s="247" t="s">
        <v>464</v>
      </c>
      <c r="C8" s="556">
        <v>1036.1417322834648</v>
      </c>
      <c r="D8" s="17">
        <v>29.7</v>
      </c>
      <c r="E8" s="17">
        <v>0</v>
      </c>
      <c r="F8" s="270">
        <v>2025</v>
      </c>
      <c r="G8" s="47"/>
      <c r="H8" s="270">
        <v>240.31</v>
      </c>
      <c r="I8" s="270">
        <v>534.29</v>
      </c>
      <c r="J8" s="270">
        <v>76.06</v>
      </c>
      <c r="K8" s="270">
        <v>76.06</v>
      </c>
      <c r="L8" s="17">
        <v>0</v>
      </c>
      <c r="M8" s="17">
        <v>0</v>
      </c>
      <c r="N8" s="271">
        <v>40.869999999999997</v>
      </c>
      <c r="O8" s="271">
        <v>42.64</v>
      </c>
      <c r="P8" s="441">
        <f xml:space="preserve"> SUM(D8:F8,H8,J8)</f>
        <v>2371.0699999999997</v>
      </c>
      <c r="Q8" s="461">
        <f xml:space="preserve"> SUM(D8:F8,,I8,K8)</f>
        <v>2665.0499999999997</v>
      </c>
      <c r="R8" s="441" t="e">
        <f>IF($B$2="mil",1,0.0254)*C8+P8</f>
        <v>#REF!</v>
      </c>
      <c r="S8" s="441" t="e">
        <f>IF($B$2="mil",1,0.0254)*C8+Q8</f>
        <v>#REF!</v>
      </c>
      <c r="T8" s="442">
        <f>$E$17</f>
        <v>3400</v>
      </c>
      <c r="U8" s="443" t="e">
        <f>IF($T8-$R8&lt;IF($B$2="mil",1,0.0254)*10,"Pass",$T8-$R8-IF($B$2="mil",1,0.0254)*5)</f>
        <v>#REF!</v>
      </c>
      <c r="V8" s="462" t="e">
        <f>IF($R8-$T8&lt;IF($B$2="mil",1,0.0254)*10,"Pass",$R8-$T8-IF($B$2="mil",1,0.0254)*5)</f>
        <v>#REF!</v>
      </c>
      <c r="W8" s="442">
        <f>$E$15</f>
        <v>3700</v>
      </c>
      <c r="X8" s="443" t="e">
        <f>IF($W8-$S8&lt;IF($B$2="mil",1,0.0254)*10,"Pass",$W8-$S8-IF($B$2="mil",1,0.0254)*5)</f>
        <v>#REF!</v>
      </c>
      <c r="Y8" s="462" t="e">
        <f>IF($S8-$W8&lt;IF($B$2="mil",1,0.0254)*10,"Pass",$S8-$W8-IF($B$2="mil",1,0.0254)*5)</f>
        <v>#REF!</v>
      </c>
      <c r="Z8" s="445" t="e">
        <f>IF($D8&lt;=IF($B$2="mil",1,0.0254)*50,"Pass",IF($B$2="mil",1,0.0254)*50-$D8)</f>
        <v>#REF!</v>
      </c>
      <c r="AA8" s="445" t="e">
        <f>IF($E8&lt;=IF($B$2="mil",1,0.0254)*500,"Pass",IF($B$2="mil",1,0.0254)*500-$E8)</f>
        <v>#REF!</v>
      </c>
      <c r="AB8" s="454"/>
      <c r="AC8" s="447" t="e">
        <f t="shared" ca="1" si="0"/>
        <v>#NAME?</v>
      </c>
      <c r="AD8" s="447" t="e">
        <f t="shared" ca="1" si="0"/>
        <v>#NAME?</v>
      </c>
      <c r="AE8" s="445" t="e">
        <f t="shared" ca="1" si="1"/>
        <v>#NAME?</v>
      </c>
      <c r="AF8" s="445" t="e">
        <f t="shared" ca="1" si="1"/>
        <v>#NAME?</v>
      </c>
      <c r="AG8" s="445" t="e">
        <f>IF(MAX(J$7:K$8)-MIN(J$7:K$8)&lt;=IF($B$2="mil",1,0.0254)*50,"Pass",MAX(J$7:K$8)-MIN($J8:$K8)-IF($B$2="mil",1,0.0254)*50)</f>
        <v>#REF!</v>
      </c>
      <c r="AH8" s="445" t="e">
        <f>IF($L8&lt;=IF($B$2="mil",1,0.0254)*250,"Pass",IF($B$2="mil",1,0.0254)*250-$L8)</f>
        <v>#REF!</v>
      </c>
      <c r="AI8" s="445" t="e">
        <f>IF($M8&lt;=IF($B$2="mil",1,0.0254)*250,"Pass",IF($B$2="mil",1,0.0254)*250-$M8)</f>
        <v>#REF!</v>
      </c>
      <c r="AJ8" s="445" t="e">
        <f>IF($N8&lt;=IF($B$2="mil",1,0.0254)*50,"Pass",IF($B$2="mil",1,0.0254)*50-$N8)</f>
        <v>#REF!</v>
      </c>
      <c r="AK8" s="445" t="e">
        <f>IF($O8&lt;=IF($B$2="mil",1,0.0254)*50,"Pass",IF($B$2="mil",1,0.0254)*50-$O8)</f>
        <v>#REF!</v>
      </c>
      <c r="AL8" s="447" t="e">
        <f>IF(AND($P8&gt;=IF($B$2="mil",1,0.0254)*500, $P8&lt;=IF($B$2="mil",1,0.0254)*5000),"Pass",IF(($P8&gt;=IF($B$2="mil",1,0.0254)*500), IF($B$2="mil",1,0.0254)*5000-$P8, IF($B$2="mil",1,0.0254)*500-$P8))</f>
        <v>#REF!</v>
      </c>
      <c r="AM8" s="447" t="e">
        <f>IF( $R8&lt;=IF($B$2="mil",1,0.0254)*5500,"Pass", IF($B$2="mil",1,0.0254)*5500-$R8)</f>
        <v>#REF!</v>
      </c>
      <c r="AN8" s="447" t="e">
        <f>IF(AND($Q8&gt;=IF($B$2="mil",1,0.0254)*500, $Q8&lt;=IF($B$2="mil",1,0.0254)*5000),"Pass",IF(($Q8&gt;=IF($B$2="mil",1,0.0254)*500), IF($B$2="mil",1,0.0254)*5000-$Q8, IF($B$2="mil",1,0.0254)*500-$Q8))</f>
        <v>#REF!</v>
      </c>
      <c r="AO8" s="447" t="e">
        <f>IF( $S8&lt;=IF($B$2="mil",1,0.0254)*5500,"Pass", IF($B$2="mil",1,0.0254)*5500-$S8)</f>
        <v>#REF!</v>
      </c>
      <c r="AP8" s="455"/>
      <c r="AQ8" s="242"/>
      <c r="AR8" s="449" t="e">
        <f>IF((ABS($R8-$R7)&lt;=IF($B$2="mil",1,0.0254)*5),"Pass",ABS($R8-$R7))</f>
        <v>#REF!</v>
      </c>
      <c r="AS8" s="449" t="e">
        <f>IF((ABS($S8-$S7)&lt;=IF($B$2="mil",1,0.0254)*5),"Pass",ABS($S8-$S7))</f>
        <v>#REF!</v>
      </c>
      <c r="AT8" s="242"/>
      <c r="AU8" s="2" t="e">
        <f ca="1">IF(AND(X8="Pass",Y8="Pass",Z8="Pass",AA8="Pass",AC8="Pass",AD8="Pass",AE8="Pass",AF8="Pass",AG8="Pass",AH8="Pass",AI8="Pass",AJ8="Pass",AK8="Pass",AL8="Pass",AM8="Pass",AN8="Pass",AO8="Pass",AR8="Pass",AS8="Pass",U8="Pass",V8="Pass"),"Pass","Fail")</f>
        <v>#REF!</v>
      </c>
      <c r="AV8" s="2"/>
      <c r="AW8" s="2"/>
      <c r="AX8" s="2"/>
      <c r="AY8" s="2"/>
      <c r="AZ8" s="2"/>
      <c r="BA8" s="2"/>
      <c r="BB8" s="2"/>
      <c r="BC8" s="2"/>
    </row>
    <row r="9" spans="1:55" x14ac:dyDescent="0.2">
      <c r="A9" s="6" t="s">
        <v>254</v>
      </c>
      <c r="B9" s="95"/>
      <c r="C9" s="557"/>
      <c r="D9" s="87" t="e">
        <f>"Escape
Length L0 [" &amp; B2
&amp;"]"</f>
        <v>#REF!</v>
      </c>
      <c r="E9" s="87" t="e">
        <f>"Breakout
Length L1
[" &amp;B2 &amp;"]"</f>
        <v>#REF!</v>
      </c>
      <c r="F9" s="87" t="e">
        <f>"Main
Length L2
[" &amp;B2 &amp;"]"</f>
        <v>#REF!</v>
      </c>
      <c r="G9" s="87" t="e">
        <f>"Breakin
Length S1
[" &amp;B2 &amp;"]"</f>
        <v>#REF!</v>
      </c>
      <c r="H9" s="11"/>
      <c r="I9" s="11"/>
      <c r="J9" s="11"/>
      <c r="K9" s="11"/>
      <c r="L9" s="11"/>
      <c r="M9" s="11"/>
      <c r="N9" s="11"/>
      <c r="O9" s="11"/>
      <c r="P9" s="8"/>
      <c r="Q9" s="8"/>
      <c r="R9" s="8"/>
      <c r="S9" s="8"/>
      <c r="T9" s="8"/>
      <c r="U9" s="458"/>
      <c r="V9" s="458"/>
      <c r="W9" s="457"/>
      <c r="X9" s="457"/>
      <c r="Y9" s="457"/>
      <c r="Z9" s="5" t="e">
        <f>"L1 Length Test
(&lt;="&amp; IF(B2="mil",1,0.0254)*500 &amp; B2 &amp;")"</f>
        <v>#REF!</v>
      </c>
      <c r="AA9" s="5" t="e">
        <f>"L2 Length Test  (&lt;="&amp;IF($B$2="mil",1,0.0254)*2550&amp;$B$2&amp;")"</f>
        <v>#REF!</v>
      </c>
      <c r="AB9" s="5" t="e">
        <f>"S1 Length Test
(&lt;="&amp;IF($B$2="mil",1,0.0254)*200&amp;$B$2&amp;")"</f>
        <v>#REF!</v>
      </c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459"/>
      <c r="AO9" s="459"/>
      <c r="AP9" s="463"/>
      <c r="AQ9" s="463"/>
      <c r="AR9" s="8"/>
      <c r="AS9" s="8"/>
      <c r="AT9" s="464"/>
      <c r="AU9" s="2"/>
      <c r="AV9" s="2"/>
      <c r="AW9" s="2"/>
      <c r="AX9" s="2"/>
      <c r="AY9" s="2"/>
      <c r="AZ9" s="2"/>
      <c r="BA9" s="2"/>
      <c r="BB9" s="2"/>
      <c r="BC9" s="2"/>
    </row>
    <row r="10" spans="1:55" x14ac:dyDescent="0.2">
      <c r="A10" s="92" t="s">
        <v>459</v>
      </c>
      <c r="B10" s="247" t="s">
        <v>462</v>
      </c>
      <c r="C10" s="556">
        <v>863.93700787401576</v>
      </c>
      <c r="D10" s="17">
        <v>29.7</v>
      </c>
      <c r="E10" s="17">
        <v>0</v>
      </c>
      <c r="F10" s="270">
        <v>2100</v>
      </c>
      <c r="G10" s="270">
        <v>100</v>
      </c>
      <c r="H10" s="114"/>
      <c r="I10" s="29"/>
      <c r="J10" s="29"/>
      <c r="K10" s="29"/>
      <c r="L10" s="29"/>
      <c r="M10" s="29"/>
      <c r="N10" s="29"/>
      <c r="O10" s="115"/>
      <c r="P10" s="461">
        <f xml:space="preserve"> D10+E10+F10+G10</f>
        <v>2229.6999999999998</v>
      </c>
      <c r="Q10" s="446"/>
      <c r="R10" s="441" t="e">
        <f>IF($B$2="mil",1,0.0254)*C10+P10</f>
        <v>#REF!</v>
      </c>
      <c r="S10" s="446"/>
      <c r="T10" s="442">
        <f>$D$23</f>
        <v>3100</v>
      </c>
      <c r="U10" s="443" t="e">
        <f>IF($T10-$R10&lt;IF($B$2="mil",1,0.0254)*10,"Pass",$T10-$R10-IF($B$2="mil",1,0.0254)*10)</f>
        <v>#REF!</v>
      </c>
      <c r="V10" s="462" t="e">
        <f>IF($R10-$T10&lt;IF($B$2="mil",1,0.0254)*10,"Pass",$R10-$T10-IF($B$2="mil",1,0.0254)*10)</f>
        <v>#REF!</v>
      </c>
      <c r="W10" s="114"/>
      <c r="X10" s="29"/>
      <c r="Y10" s="115"/>
      <c r="Z10" s="465" t="e">
        <f>IF($D10&lt;=IF($B$2="mil",1,0.0254)*500,"Pass",IF($B$2="mil",1,0.0254)*500-$D10)</f>
        <v>#REF!</v>
      </c>
      <c r="AA10" s="445" t="e">
        <f>IF($E10&lt;=IF($B$2="mil",1,0.0254)*2550,"Pass",IF($B$2="mil",1,0.0254)*2550-$E10)</f>
        <v>#REF!</v>
      </c>
      <c r="AB10" s="466" t="e">
        <f>IF($G10&lt;=IF($B$2="mil",1,0.0254)*200,"Pass",IF($B$2="mil",1,0.0254)*200-$G10)</f>
        <v>#REF!</v>
      </c>
      <c r="AC10" s="448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241"/>
      <c r="AP10" s="449" t="e">
        <f>IF(AND($P10&gt;=IF($B$2="mil",1,0.0254)*500, $P10&lt;=IF($B$2="mil",1,0.0254)*3250),"Pass",IF(($P10&gt;=IF($B$2="mil",1,0.0254)*500), IF($B$2="mil",1,0.0254)*3250-$P10, IF($B$2="mil",1,0.0254)*500-$P10))</f>
        <v>#REF!</v>
      </c>
      <c r="AQ10" s="447" t="e">
        <f>IF( $R10&lt;=IF($B$2="mil",1,0.0254)*4000,"Pass", IF($B$2="mil",1,0.0254)*4000-$R10)</f>
        <v>#REF!</v>
      </c>
      <c r="AR10" s="447" t="e">
        <f>IF((ABS($R10-$R11)&lt;=IF($B$2="mil",1,0.0254)*5),"Pass",ABS($R10-$R11))</f>
        <v>#REF!</v>
      </c>
      <c r="AS10" s="241"/>
      <c r="AT10" s="447" t="e">
        <f>IF(MAX(R$10:R$13)-R10&gt;IF($B$2="mil",1,0.0254)*20, MAX(R$10:R$13)-R10,"Pass")</f>
        <v>#REF!</v>
      </c>
      <c r="AU10" s="2" t="e">
        <f>IF(AND(Z10="Pass",AA10="Pass",AB10="Pass",AP10="Pass",AQ10="Pass",AR10="Pass",AT10="Pass",U10="Pass",V10="Pass"),"Pass","Fail")</f>
        <v>#REF!</v>
      </c>
      <c r="AV10" s="2"/>
      <c r="AW10" s="2"/>
      <c r="AX10" s="2"/>
      <c r="AY10" s="2"/>
      <c r="AZ10" s="2"/>
      <c r="BA10" s="2"/>
      <c r="BB10" s="2"/>
      <c r="BC10" s="2"/>
    </row>
    <row r="11" spans="1:55" x14ac:dyDescent="0.2">
      <c r="A11" s="92" t="s">
        <v>460</v>
      </c>
      <c r="B11" s="247" t="s">
        <v>465</v>
      </c>
      <c r="C11" s="556">
        <v>863.97637795275591</v>
      </c>
      <c r="D11" s="17">
        <v>29.7</v>
      </c>
      <c r="E11" s="17">
        <v>0</v>
      </c>
      <c r="F11" s="270">
        <v>2100</v>
      </c>
      <c r="G11" s="270">
        <v>100</v>
      </c>
      <c r="H11" s="116"/>
      <c r="I11" s="47"/>
      <c r="J11" s="47"/>
      <c r="K11" s="47"/>
      <c r="L11" s="47"/>
      <c r="M11" s="47"/>
      <c r="N11" s="47"/>
      <c r="O11" s="117"/>
      <c r="P11" s="461">
        <f xml:space="preserve"> D11+E11+F11+G11</f>
        <v>2229.6999999999998</v>
      </c>
      <c r="Q11" s="451"/>
      <c r="R11" s="441" t="e">
        <f>IF($B$2="mil",1,0.0254)*C11+P11</f>
        <v>#REF!</v>
      </c>
      <c r="S11" s="451"/>
      <c r="T11" s="442">
        <f>$D$23</f>
        <v>3100</v>
      </c>
      <c r="U11" s="443" t="e">
        <f>IF($T11-$R11&lt;IF($B$2="mil",1,0.0254)*10,"Pass",$T11-$R11-IF($B$2="mil",1,0.0254)*10)</f>
        <v>#REF!</v>
      </c>
      <c r="V11" s="462" t="e">
        <f>IF($R11-$T11&lt;IF($B$2="mil",1,0.0254)*10,"Pass",$R11-$T11-IF($B$2="mil",1,0.0254)*10)</f>
        <v>#REF!</v>
      </c>
      <c r="W11" s="116"/>
      <c r="X11" s="47"/>
      <c r="Y11" s="117"/>
      <c r="Z11" s="465" t="e">
        <f>IF($D11&lt;=IF($B$2="mil",1,0.0254)*500,"Pass",IF($B$2="mil",1,0.0254)*500-$D11)</f>
        <v>#REF!</v>
      </c>
      <c r="AA11" s="445" t="e">
        <f>IF($E11&lt;=IF($B$2="mil",1,0.0254)*2550,"Pass",IF($B$2="mil",1,0.0254)*2550-$E11)</f>
        <v>#REF!</v>
      </c>
      <c r="AB11" s="466" t="e">
        <f>IF($G11&lt;=IF($B$2="mil",1,0.0254)*200,"Pass",IF($B$2="mil",1,0.0254)*200-$G11)</f>
        <v>#REF!</v>
      </c>
      <c r="AC11" s="452"/>
      <c r="AD11" s="330"/>
      <c r="AE11" s="330"/>
      <c r="AF11" s="330"/>
      <c r="AG11" s="330"/>
      <c r="AH11" s="330"/>
      <c r="AI11" s="330"/>
      <c r="AJ11" s="330"/>
      <c r="AK11" s="330"/>
      <c r="AL11" s="330"/>
      <c r="AM11" s="330"/>
      <c r="AN11" s="330"/>
      <c r="AO11" s="331"/>
      <c r="AP11" s="449" t="e">
        <f>IF(AND($P11&gt;=IF($B$2="mil",1,0.0254)*500, $P11&lt;=IF($B$2="mil",1,0.0254)*3250),"Pass",IF(($P11&gt;=IF($B$2="mil",1,0.0254)*500), IF($B$2="mil",1,0.0254)*3250-$P11, IF($B$2="mil",1,0.0254)*500-$P11))</f>
        <v>#REF!</v>
      </c>
      <c r="AQ11" s="447" t="e">
        <f>IF( $R11&lt;=IF($B$2="mil",1,0.0254)*4000,"Pass", IF($B$2="mil",1,0.0254)*4000-$R11)</f>
        <v>#REF!</v>
      </c>
      <c r="AR11" s="447" t="e">
        <f>IF((ABS($R11-$R10)&lt;=IF($B$2="mil",1,0.0254)*5),"Pass",ABS($R11-$R10))</f>
        <v>#REF!</v>
      </c>
      <c r="AS11" s="331"/>
      <c r="AT11" s="447" t="e">
        <f>IF(MAX(R$10:R$13)-R11&gt;IF($B$2="mil",1,0.0254)*20, MAX(R$10:R$13)-R11,"Pass")</f>
        <v>#REF!</v>
      </c>
      <c r="AU11" s="2" t="e">
        <f>IF(AND(Z11="Pass",AA11="Pass",AB11="Pass",AP11="Pass",AQ11="Pass",AR11="Pass",AT11="Pass",U11="Pass",V11="Pass"),"Pass","Fail")</f>
        <v>#REF!</v>
      </c>
      <c r="AV11" s="2"/>
      <c r="AW11" s="2"/>
      <c r="AX11" s="2"/>
      <c r="AY11" s="2"/>
      <c r="AZ11" s="2"/>
      <c r="BA11" s="2"/>
      <c r="BB11" s="2"/>
      <c r="BC11" s="2"/>
    </row>
    <row r="12" spans="1:55" x14ac:dyDescent="0.2">
      <c r="A12" s="92" t="s">
        <v>63</v>
      </c>
      <c r="B12" s="247" t="s">
        <v>463</v>
      </c>
      <c r="C12" s="556">
        <v>764.44881889763792</v>
      </c>
      <c r="D12" s="17">
        <v>29.7</v>
      </c>
      <c r="E12" s="17">
        <v>0</v>
      </c>
      <c r="F12" s="270">
        <v>2200</v>
      </c>
      <c r="G12" s="270">
        <v>100</v>
      </c>
      <c r="H12" s="116"/>
      <c r="I12" s="47"/>
      <c r="J12" s="47"/>
      <c r="K12" s="47"/>
      <c r="L12" s="47"/>
      <c r="M12" s="47"/>
      <c r="N12" s="47"/>
      <c r="O12" s="117"/>
      <c r="P12" s="461">
        <f xml:space="preserve"> D12+E12+F12+G12</f>
        <v>2329.6999999999998</v>
      </c>
      <c r="Q12" s="451"/>
      <c r="R12" s="441" t="e">
        <f>IF($B$2="mil",1,0.0254)*C12+P12</f>
        <v>#REF!</v>
      </c>
      <c r="S12" s="451"/>
      <c r="T12" s="442">
        <f>$D$23</f>
        <v>3100</v>
      </c>
      <c r="U12" s="443" t="e">
        <f>IF($T12-$R12&lt;IF($B$2="mil",1,0.0254)*10,"Pass",$T12-$R12-IF($B$2="mil",1,0.0254)*10)</f>
        <v>#REF!</v>
      </c>
      <c r="V12" s="462" t="e">
        <f>IF($R12-$T12&lt;IF($B$2="mil",1,0.0254)*10,"Pass",$R12-$T12-IF($B$2="mil",1,0.0254)*10)</f>
        <v>#REF!</v>
      </c>
      <c r="W12" s="116"/>
      <c r="X12" s="47"/>
      <c r="Y12" s="117"/>
      <c r="Z12" s="465" t="e">
        <f>IF($D12&lt;=IF($B$2="mil",1,0.0254)*500,"Pass",IF($B$2="mil",1,0.0254)*500-$D12)</f>
        <v>#REF!</v>
      </c>
      <c r="AA12" s="445" t="e">
        <f>IF($E12&lt;=IF($B$2="mil",1,0.0254)*2550,"Pass",IF($B$2="mil",1,0.0254)*2550-$E12)</f>
        <v>#REF!</v>
      </c>
      <c r="AB12" s="466" t="e">
        <f>IF($G12&lt;=IF($B$2="mil",1,0.0254)*200,"Pass",IF($B$2="mil",1,0.0254)*200-$G12)</f>
        <v>#REF!</v>
      </c>
      <c r="AC12" s="452"/>
      <c r="AD12" s="330"/>
      <c r="AE12" s="330"/>
      <c r="AF12" s="330"/>
      <c r="AG12" s="330"/>
      <c r="AH12" s="330"/>
      <c r="AI12" s="330"/>
      <c r="AJ12" s="330"/>
      <c r="AK12" s="330"/>
      <c r="AL12" s="330"/>
      <c r="AM12" s="330"/>
      <c r="AN12" s="330"/>
      <c r="AO12" s="331"/>
      <c r="AP12" s="449" t="e">
        <f>IF(AND($P12&gt;=IF($B$2="mil",1,0.0254)*500, $P12&lt;=IF($B$2="mil",1,0.0254)*3250),"Pass",IF(($P12&gt;=IF($B$2="mil",1,0.0254)*500), IF($B$2="mil",1,0.0254)*3250-$P12, IF($B$2="mil",1,0.0254)*500-$P12))</f>
        <v>#REF!</v>
      </c>
      <c r="AQ12" s="447" t="e">
        <f>IF( $R12&lt;=IF($B$2="mil",1,0.0254)*4000,"Pass", IF($B$2="mil",1,0.0254)*4000-$R12)</f>
        <v>#REF!</v>
      </c>
      <c r="AR12" s="447" t="e">
        <f>IF((ABS($R12-$R13)&lt;=IF($B$2="mil",1,0.0254)*5),"Pass",ABS($R12-$R13))</f>
        <v>#REF!</v>
      </c>
      <c r="AS12" s="331"/>
      <c r="AT12" s="447" t="e">
        <f>IF(MAX(R$10:R$13)-R12&gt;IF($B$2="mil",1,0.0254)*20, MAX(R$10:R$13)-R12,"Pass")</f>
        <v>#REF!</v>
      </c>
      <c r="AU12" s="2" t="e">
        <f>IF(AND(Z12="Pass",AA12="Pass",AB12="Pass",AP12="Pass",AQ12="Pass",AR12="Pass",AT12="Pass",U12="Pass",V12="Pass"),"Pass","Fail")</f>
        <v>#REF!</v>
      </c>
      <c r="AV12" s="2"/>
      <c r="AW12" s="2"/>
      <c r="AX12" s="2"/>
      <c r="AY12" s="2"/>
      <c r="AZ12" s="2"/>
      <c r="BA12" s="2"/>
      <c r="BB12" s="2"/>
      <c r="BC12" s="2"/>
    </row>
    <row r="13" spans="1:55" x14ac:dyDescent="0.2">
      <c r="A13" s="92" t="s">
        <v>64</v>
      </c>
      <c r="B13" s="247" t="s">
        <v>466</v>
      </c>
      <c r="C13" s="556">
        <v>764.48818897637796</v>
      </c>
      <c r="D13" s="17">
        <v>29.7</v>
      </c>
      <c r="E13" s="17">
        <v>0</v>
      </c>
      <c r="F13" s="270">
        <v>2200</v>
      </c>
      <c r="G13" s="270">
        <v>100</v>
      </c>
      <c r="H13" s="118"/>
      <c r="I13" s="34"/>
      <c r="J13" s="34"/>
      <c r="K13" s="34"/>
      <c r="L13" s="34"/>
      <c r="M13" s="34"/>
      <c r="N13" s="34"/>
      <c r="O13" s="119"/>
      <c r="P13" s="461">
        <f xml:space="preserve"> D13+E13+F13+G13</f>
        <v>2329.6999999999998</v>
      </c>
      <c r="Q13" s="454"/>
      <c r="R13" s="441" t="e">
        <f>IF($B$2="mil",1,0.0254)*C13+P13</f>
        <v>#REF!</v>
      </c>
      <c r="S13" s="454"/>
      <c r="T13" s="442">
        <f>$D$23</f>
        <v>3100</v>
      </c>
      <c r="U13" s="443" t="e">
        <f>IF($T13-$R13&lt;IF($B$2="mil",1,0.0254)*10,"Pass",$T13-$R13-IF($B$2="mil",1,0.0254)*10)</f>
        <v>#REF!</v>
      </c>
      <c r="V13" s="462" t="e">
        <f>IF($R13-$T13&lt;IF($B$2="mil",1,0.0254)*10,"Pass",$R13-$T13-IF($B$2="mil",1,0.0254)*10)</f>
        <v>#REF!</v>
      </c>
      <c r="W13" s="118"/>
      <c r="X13" s="34"/>
      <c r="Y13" s="119"/>
      <c r="Z13" s="465" t="e">
        <f>IF($D13&lt;=IF($B$2="mil",1,0.0254)*500,"Pass",IF($B$2="mil",1,0.0254)*500-$D13)</f>
        <v>#REF!</v>
      </c>
      <c r="AA13" s="445" t="e">
        <f>IF($E13&lt;=IF($B$2="mil",1,0.0254)*2550,"Pass",IF($B$2="mil",1,0.0254)*2550-$E13)</f>
        <v>#REF!</v>
      </c>
      <c r="AB13" s="466" t="e">
        <f>IF($G13&lt;=IF($B$2="mil",1,0.0254)*200,"Pass",IF($B$2="mil",1,0.0254)*200-$G13)</f>
        <v>#REF!</v>
      </c>
      <c r="AC13" s="455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242"/>
      <c r="AP13" s="449" t="e">
        <f>IF(AND($P13&gt;=IF($B$2="mil",1,0.0254)*500, $P13&lt;=IF($B$2="mil",1,0.0254)*3250),"Pass",IF(($P13&gt;=IF($B$2="mil",1,0.0254)*500), IF($B$2="mil",1,0.0254)*3250-$P13, IF($B$2="mil",1,0.0254)*500-$P13))</f>
        <v>#REF!</v>
      </c>
      <c r="AQ13" s="447" t="e">
        <f>IF( $R13&lt;=IF($B$2="mil",1,0.0254)*4000,"Pass", IF($B$2="mil",1,0.0254)*4000-$R13)</f>
        <v>#REF!</v>
      </c>
      <c r="AR13" s="447" t="e">
        <f>IF((ABS($R13-$R12)&lt;=IF($B$2="mil",1,0.0254)*5),"Pass",ABS($R13-$R12))</f>
        <v>#REF!</v>
      </c>
      <c r="AS13" s="242"/>
      <c r="AT13" s="447" t="e">
        <f>IF(MAX(R$10:R$13)-R13&gt;IF($B$2="mil",1,0.0254)*20, MAX(R$10:R$13)-R13,"Pass")</f>
        <v>#REF!</v>
      </c>
      <c r="AU13" s="2" t="e">
        <f>IF(AND(Z13="Pass",AA13="Pass",AB13="Pass",AP13="Pass",AQ13="Pass",AR13="Pass",AT13="Pass",U13="Pass",V13="Pass"),"Pass","Fail")</f>
        <v>#REF!</v>
      </c>
      <c r="AV13" s="2"/>
      <c r="AW13" s="2"/>
      <c r="AX13" s="2"/>
      <c r="AY13" s="2"/>
      <c r="AZ13" s="2"/>
      <c r="BA13" s="2"/>
      <c r="BB13" s="2"/>
      <c r="BC13" s="2"/>
    </row>
    <row r="14" spans="1:55" x14ac:dyDescent="0.2">
      <c r="A14" s="96" t="s">
        <v>285</v>
      </c>
      <c r="B14" s="97"/>
      <c r="C14" s="98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5"/>
      <c r="S14" s="25"/>
      <c r="T14" s="25"/>
      <c r="U14" s="23"/>
      <c r="V14" s="23"/>
      <c r="W14" s="23"/>
      <c r="X14" s="23"/>
      <c r="Y14" s="23"/>
      <c r="Z14" s="23"/>
      <c r="AA14" s="26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40"/>
      <c r="AU14" s="2"/>
      <c r="AV14" s="2"/>
      <c r="AW14" s="2"/>
      <c r="AX14" s="2"/>
      <c r="AY14" s="2"/>
      <c r="AZ14" s="2"/>
      <c r="BA14" s="2"/>
      <c r="BB14" s="2"/>
      <c r="BC14" s="2"/>
    </row>
    <row r="15" spans="1:55" x14ac:dyDescent="0.2">
      <c r="A15" s="99" t="s">
        <v>66</v>
      </c>
      <c r="B15" s="100" t="s">
        <v>264</v>
      </c>
      <c r="C15" s="311"/>
      <c r="D15" s="91" t="s">
        <v>293</v>
      </c>
      <c r="E15" s="17">
        <v>3700</v>
      </c>
      <c r="F15" s="28"/>
      <c r="G15" s="28"/>
      <c r="H15" s="28"/>
      <c r="I15" s="28"/>
      <c r="J15" s="28"/>
      <c r="K15" s="28"/>
      <c r="L15" s="28"/>
      <c r="M15" s="29"/>
      <c r="N15" s="29"/>
      <c r="O15" s="29"/>
      <c r="P15" s="30"/>
      <c r="Q15" s="30"/>
      <c r="R15" s="30"/>
      <c r="S15" s="30"/>
      <c r="T15" s="30"/>
      <c r="U15" s="30"/>
      <c r="V15" s="31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241"/>
      <c r="AU15" s="2"/>
      <c r="AV15" s="2"/>
      <c r="AW15" s="2"/>
      <c r="AX15" s="2"/>
      <c r="AY15" s="2"/>
      <c r="AZ15" s="2"/>
      <c r="BA15" s="2"/>
      <c r="BB15" s="2"/>
      <c r="BC15" s="2"/>
    </row>
    <row r="16" spans="1:55" x14ac:dyDescent="0.2">
      <c r="A16" s="99"/>
      <c r="B16" s="100"/>
      <c r="C16" s="311"/>
      <c r="D16" s="91" t="s">
        <v>294</v>
      </c>
      <c r="E16" s="17">
        <v>3400</v>
      </c>
      <c r="F16" s="46"/>
      <c r="G16" s="46"/>
      <c r="H16" s="46"/>
      <c r="I16" s="46"/>
      <c r="J16" s="46"/>
      <c r="K16" s="46"/>
      <c r="L16" s="46"/>
      <c r="M16" s="47"/>
      <c r="N16" s="47"/>
      <c r="O16" s="47"/>
      <c r="P16" s="328"/>
      <c r="Q16" s="328"/>
      <c r="R16" s="328"/>
      <c r="S16" s="328"/>
      <c r="T16" s="328"/>
      <c r="U16" s="328"/>
      <c r="V16" s="329"/>
      <c r="W16" s="330"/>
      <c r="X16" s="330"/>
      <c r="Y16" s="330"/>
      <c r="Z16" s="330"/>
      <c r="AA16" s="330"/>
      <c r="AB16" s="330"/>
      <c r="AC16" s="330"/>
      <c r="AD16" s="330"/>
      <c r="AE16" s="330"/>
      <c r="AF16" s="330"/>
      <c r="AG16" s="330"/>
      <c r="AH16" s="330"/>
      <c r="AI16" s="330"/>
      <c r="AJ16" s="330"/>
      <c r="AK16" s="330"/>
      <c r="AL16" s="330"/>
      <c r="AM16" s="330"/>
      <c r="AN16" s="330"/>
      <c r="AO16" s="330"/>
      <c r="AP16" s="330"/>
      <c r="AQ16" s="330"/>
      <c r="AR16" s="330"/>
      <c r="AS16" s="330"/>
      <c r="AT16" s="331"/>
      <c r="AU16" s="2"/>
      <c r="AV16" s="2"/>
      <c r="AW16" s="2"/>
      <c r="AX16" s="2"/>
      <c r="AY16" s="2"/>
      <c r="AZ16" s="2"/>
      <c r="BA16" s="2"/>
      <c r="BB16" s="2"/>
      <c r="BC16" s="2"/>
    </row>
    <row r="17" spans="1:55" x14ac:dyDescent="0.2">
      <c r="A17" s="99"/>
      <c r="B17" s="100"/>
      <c r="C17" s="311"/>
      <c r="D17" s="91" t="s">
        <v>296</v>
      </c>
      <c r="E17" s="17">
        <v>3400</v>
      </c>
      <c r="F17" s="46"/>
      <c r="G17" s="46"/>
      <c r="H17" s="46"/>
      <c r="I17" s="46"/>
      <c r="J17" s="46"/>
      <c r="K17" s="46"/>
      <c r="L17" s="46"/>
      <c r="M17" s="47"/>
      <c r="N17" s="47"/>
      <c r="O17" s="47"/>
      <c r="P17" s="328"/>
      <c r="Q17" s="328"/>
      <c r="R17" s="328"/>
      <c r="S17" s="328"/>
      <c r="T17" s="328"/>
      <c r="U17" s="328"/>
      <c r="V17" s="329"/>
      <c r="W17" s="330"/>
      <c r="X17" s="330"/>
      <c r="Y17" s="330"/>
      <c r="Z17" s="330"/>
      <c r="AA17" s="330"/>
      <c r="AB17" s="330"/>
      <c r="AC17" s="330"/>
      <c r="AD17" s="330"/>
      <c r="AE17" s="330"/>
      <c r="AF17" s="330"/>
      <c r="AG17" s="330"/>
      <c r="AH17" s="330"/>
      <c r="AI17" s="330"/>
      <c r="AJ17" s="330"/>
      <c r="AK17" s="330"/>
      <c r="AL17" s="330"/>
      <c r="AM17" s="330"/>
      <c r="AN17" s="330"/>
      <c r="AO17" s="330"/>
      <c r="AP17" s="330"/>
      <c r="AQ17" s="330"/>
      <c r="AR17" s="330"/>
      <c r="AS17" s="330"/>
      <c r="AT17" s="331"/>
      <c r="AU17" s="2"/>
      <c r="AV17" s="2"/>
      <c r="AW17" s="2"/>
      <c r="AX17" s="2"/>
      <c r="AY17" s="2"/>
      <c r="AZ17" s="2"/>
      <c r="BA17" s="2"/>
      <c r="BB17" s="2"/>
      <c r="BC17" s="2"/>
    </row>
    <row r="18" spans="1:55" x14ac:dyDescent="0.2">
      <c r="A18" s="99"/>
      <c r="B18" s="100"/>
      <c r="C18" s="311"/>
      <c r="D18" s="91" t="s">
        <v>295</v>
      </c>
      <c r="E18" s="17">
        <v>3700</v>
      </c>
      <c r="F18" s="46"/>
      <c r="G18" s="46"/>
      <c r="H18" s="46"/>
      <c r="I18" s="46"/>
      <c r="J18" s="46"/>
      <c r="K18" s="46"/>
      <c r="L18" s="46"/>
      <c r="M18" s="47"/>
      <c r="N18" s="47"/>
      <c r="O18" s="47"/>
      <c r="P18" s="328"/>
      <c r="Q18" s="328"/>
      <c r="R18" s="328"/>
      <c r="S18" s="328"/>
      <c r="T18" s="328"/>
      <c r="U18" s="328"/>
      <c r="V18" s="329"/>
      <c r="W18" s="330"/>
      <c r="X18" s="330"/>
      <c r="Y18" s="330"/>
      <c r="Z18" s="330"/>
      <c r="AA18" s="330"/>
      <c r="AB18" s="330"/>
      <c r="AC18" s="330"/>
      <c r="AD18" s="330"/>
      <c r="AE18" s="330"/>
      <c r="AF18" s="330"/>
      <c r="AG18" s="330"/>
      <c r="AH18" s="330"/>
      <c r="AI18" s="330"/>
      <c r="AJ18" s="330"/>
      <c r="AK18" s="330"/>
      <c r="AL18" s="330"/>
      <c r="AM18" s="330"/>
      <c r="AN18" s="330"/>
      <c r="AO18" s="330"/>
      <c r="AP18" s="330"/>
      <c r="AQ18" s="330"/>
      <c r="AR18" s="330"/>
      <c r="AS18" s="330"/>
      <c r="AT18" s="331"/>
      <c r="AU18" s="2"/>
      <c r="AV18" s="2"/>
      <c r="AW18" s="2"/>
      <c r="AX18" s="2"/>
      <c r="AY18" s="2"/>
      <c r="AZ18" s="2"/>
      <c r="BA18" s="2"/>
      <c r="BB18" s="2"/>
      <c r="BC18" s="2"/>
    </row>
    <row r="19" spans="1:55" x14ac:dyDescent="0.2">
      <c r="A19" s="99"/>
      <c r="B19" s="100"/>
      <c r="C19" s="311"/>
      <c r="D19" s="91" t="s">
        <v>299</v>
      </c>
      <c r="E19" s="17"/>
      <c r="F19" s="46"/>
      <c r="G19" s="46"/>
      <c r="H19" s="46"/>
      <c r="I19" s="46"/>
      <c r="J19" s="46"/>
      <c r="K19" s="46"/>
      <c r="L19" s="46"/>
      <c r="M19" s="47"/>
      <c r="N19" s="47"/>
      <c r="O19" s="47"/>
      <c r="P19" s="328"/>
      <c r="Q19" s="328"/>
      <c r="R19" s="328"/>
      <c r="S19" s="328"/>
      <c r="T19" s="328"/>
      <c r="U19" s="328"/>
      <c r="V19" s="329"/>
      <c r="W19" s="330"/>
      <c r="X19" s="330"/>
      <c r="Y19" s="330"/>
      <c r="Z19" s="330"/>
      <c r="AA19" s="330"/>
      <c r="AB19" s="330"/>
      <c r="AC19" s="330"/>
      <c r="AD19" s="330"/>
      <c r="AE19" s="330"/>
      <c r="AF19" s="330"/>
      <c r="AG19" s="330"/>
      <c r="AH19" s="330"/>
      <c r="AI19" s="330"/>
      <c r="AJ19" s="330"/>
      <c r="AK19" s="330"/>
      <c r="AL19" s="330"/>
      <c r="AM19" s="330"/>
      <c r="AN19" s="330"/>
      <c r="AO19" s="330"/>
      <c r="AP19" s="330"/>
      <c r="AQ19" s="330"/>
      <c r="AR19" s="330"/>
      <c r="AS19" s="330"/>
      <c r="AT19" s="331"/>
      <c r="AU19" s="2"/>
      <c r="AV19" s="2"/>
      <c r="AW19" s="2"/>
      <c r="AX19" s="2"/>
      <c r="AY19" s="2"/>
      <c r="AZ19" s="2"/>
      <c r="BA19" s="2"/>
      <c r="BB19" s="2"/>
      <c r="BC19" s="2"/>
    </row>
    <row r="20" spans="1:55" x14ac:dyDescent="0.2">
      <c r="A20" s="99"/>
      <c r="B20" s="100"/>
      <c r="C20" s="311"/>
      <c r="D20" s="91" t="s">
        <v>300</v>
      </c>
      <c r="E20" s="17"/>
      <c r="F20" s="46"/>
      <c r="G20" s="46"/>
      <c r="H20" s="46"/>
      <c r="I20" s="46"/>
      <c r="J20" s="46"/>
      <c r="K20" s="46"/>
      <c r="L20" s="46"/>
      <c r="M20" s="47"/>
      <c r="N20" s="47"/>
      <c r="O20" s="47"/>
      <c r="P20" s="328"/>
      <c r="Q20" s="328"/>
      <c r="R20" s="328"/>
      <c r="S20" s="328"/>
      <c r="T20" s="328"/>
      <c r="U20" s="328"/>
      <c r="V20" s="329"/>
      <c r="W20" s="330"/>
      <c r="X20" s="330"/>
      <c r="Y20" s="330"/>
      <c r="Z20" s="330"/>
      <c r="AA20" s="330"/>
      <c r="AB20" s="330"/>
      <c r="AC20" s="330"/>
      <c r="AD20" s="330"/>
      <c r="AE20" s="330"/>
      <c r="AF20" s="330"/>
      <c r="AG20" s="330"/>
      <c r="AH20" s="330"/>
      <c r="AI20" s="330"/>
      <c r="AJ20" s="330"/>
      <c r="AK20" s="330"/>
      <c r="AL20" s="330"/>
      <c r="AM20" s="330"/>
      <c r="AN20" s="330"/>
      <c r="AO20" s="330"/>
      <c r="AP20" s="330"/>
      <c r="AQ20" s="330"/>
      <c r="AR20" s="330"/>
      <c r="AS20" s="330"/>
      <c r="AT20" s="331"/>
      <c r="AU20" s="2"/>
      <c r="AV20" s="2"/>
      <c r="AW20" s="2"/>
      <c r="AX20" s="2"/>
      <c r="AY20" s="2"/>
      <c r="AZ20" s="2"/>
      <c r="BA20" s="2"/>
      <c r="BB20" s="2"/>
      <c r="BC20" s="2"/>
    </row>
    <row r="21" spans="1:55" x14ac:dyDescent="0.2">
      <c r="A21" s="99"/>
      <c r="B21" s="100"/>
      <c r="C21" s="311"/>
      <c r="D21" s="91" t="s">
        <v>301</v>
      </c>
      <c r="E21" s="17"/>
      <c r="F21" s="46"/>
      <c r="G21" s="46"/>
      <c r="H21" s="46"/>
      <c r="I21" s="46"/>
      <c r="J21" s="46"/>
      <c r="K21" s="46"/>
      <c r="L21" s="46"/>
      <c r="M21" s="47"/>
      <c r="N21" s="47"/>
      <c r="O21" s="47"/>
      <c r="P21" s="328"/>
      <c r="Q21" s="328"/>
      <c r="R21" s="328"/>
      <c r="S21" s="328"/>
      <c r="T21" s="328"/>
      <c r="U21" s="328"/>
      <c r="V21" s="329"/>
      <c r="W21" s="330"/>
      <c r="X21" s="330"/>
      <c r="Y21" s="330"/>
      <c r="Z21" s="330"/>
      <c r="AA21" s="330"/>
      <c r="AB21" s="330"/>
      <c r="AC21" s="330"/>
      <c r="AD21" s="330"/>
      <c r="AE21" s="330"/>
      <c r="AF21" s="330"/>
      <c r="AG21" s="330"/>
      <c r="AH21" s="330"/>
      <c r="AI21" s="330"/>
      <c r="AJ21" s="330"/>
      <c r="AK21" s="330"/>
      <c r="AL21" s="330"/>
      <c r="AM21" s="330"/>
      <c r="AN21" s="330"/>
      <c r="AO21" s="330"/>
      <c r="AP21" s="330"/>
      <c r="AQ21" s="330"/>
      <c r="AR21" s="330"/>
      <c r="AS21" s="330"/>
      <c r="AT21" s="331"/>
      <c r="AU21" s="2"/>
      <c r="AV21" s="2"/>
      <c r="AW21" s="2"/>
      <c r="AX21" s="2"/>
      <c r="AY21" s="2"/>
      <c r="AZ21" s="2"/>
      <c r="BA21" s="2"/>
      <c r="BB21" s="2"/>
      <c r="BC21" s="2"/>
    </row>
    <row r="22" spans="1:55" x14ac:dyDescent="0.2">
      <c r="A22" s="99"/>
      <c r="B22" s="100"/>
      <c r="C22" s="311"/>
      <c r="D22" s="91" t="s">
        <v>302</v>
      </c>
      <c r="E22" s="17"/>
      <c r="F22" s="46"/>
      <c r="G22" s="46"/>
      <c r="H22" s="46"/>
      <c r="I22" s="46"/>
      <c r="J22" s="46"/>
      <c r="K22" s="46"/>
      <c r="L22" s="46"/>
      <c r="M22" s="47"/>
      <c r="N22" s="47"/>
      <c r="O22" s="47"/>
      <c r="P22" s="328"/>
      <c r="Q22" s="328"/>
      <c r="R22" s="328"/>
      <c r="S22" s="328"/>
      <c r="T22" s="328"/>
      <c r="U22" s="328"/>
      <c r="V22" s="329"/>
      <c r="W22" s="330"/>
      <c r="X22" s="330"/>
      <c r="Y22" s="330"/>
      <c r="Z22" s="330"/>
      <c r="AA22" s="330"/>
      <c r="AB22" s="330"/>
      <c r="AC22" s="330"/>
      <c r="AD22" s="330"/>
      <c r="AE22" s="330"/>
      <c r="AF22" s="330"/>
      <c r="AG22" s="330"/>
      <c r="AH22" s="330"/>
      <c r="AI22" s="330"/>
      <c r="AJ22" s="330"/>
      <c r="AK22" s="330"/>
      <c r="AL22" s="330"/>
      <c r="AM22" s="330"/>
      <c r="AN22" s="330"/>
      <c r="AO22" s="330"/>
      <c r="AP22" s="330"/>
      <c r="AQ22" s="330"/>
      <c r="AR22" s="330"/>
      <c r="AS22" s="330"/>
      <c r="AT22" s="331"/>
      <c r="AU22" s="2"/>
      <c r="AV22" s="2"/>
      <c r="AW22" s="2"/>
      <c r="AX22" s="2"/>
      <c r="AY22" s="2"/>
      <c r="AZ22" s="2"/>
      <c r="BA22" s="2"/>
      <c r="BB22" s="2"/>
      <c r="BC22" s="2"/>
    </row>
    <row r="23" spans="1:55" x14ac:dyDescent="0.2">
      <c r="A23" s="93" t="s">
        <v>67</v>
      </c>
      <c r="B23" s="100" t="s">
        <v>265</v>
      </c>
      <c r="C23" s="311"/>
      <c r="D23" s="17">
        <v>3100</v>
      </c>
      <c r="E23" s="38"/>
      <c r="F23" s="33"/>
      <c r="G23" s="33"/>
      <c r="H23" s="33"/>
      <c r="I23" s="33"/>
      <c r="J23" s="33"/>
      <c r="K23" s="33"/>
      <c r="L23" s="34"/>
      <c r="M23" s="34"/>
      <c r="N23" s="34"/>
      <c r="O23" s="35"/>
      <c r="P23" s="35"/>
      <c r="Q23" s="35"/>
      <c r="R23" s="35"/>
      <c r="S23" s="35"/>
      <c r="T23" s="35"/>
      <c r="U23" s="36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242"/>
      <c r="AU23" s="2"/>
      <c r="AV23" s="2"/>
      <c r="AW23" s="2"/>
      <c r="AX23" s="2"/>
      <c r="AY23" s="2"/>
      <c r="AZ23" s="2"/>
      <c r="BA23" s="2"/>
      <c r="BB23" s="2"/>
      <c r="BC23" s="2"/>
    </row>
    <row r="24" spans="1:55" ht="25.5" x14ac:dyDescent="0.35">
      <c r="A24" s="39" t="s">
        <v>57</v>
      </c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</row>
    <row r="25" spans="1:55" x14ac:dyDescent="0.2">
      <c r="A25" s="20"/>
      <c r="B25" s="3"/>
      <c r="E25" s="2"/>
      <c r="F25" s="49"/>
      <c r="Y25" s="2"/>
    </row>
    <row r="26" spans="1:55" x14ac:dyDescent="0.2">
      <c r="A26" s="20"/>
      <c r="B26" s="3"/>
      <c r="E26" s="2"/>
      <c r="F26" s="49"/>
      <c r="G26"/>
    </row>
    <row r="27" spans="1:55" ht="15.75" x14ac:dyDescent="0.25">
      <c r="A27" s="20"/>
      <c r="B27" s="3"/>
      <c r="E27" s="2"/>
      <c r="F27" s="49"/>
      <c r="G27"/>
      <c r="M27" s="371"/>
    </row>
    <row r="28" spans="1:55" ht="15.75" x14ac:dyDescent="0.25">
      <c r="A28" s="20"/>
      <c r="B28" s="3"/>
      <c r="E28" s="2"/>
      <c r="F28" s="49"/>
      <c r="G28"/>
      <c r="M28" s="371"/>
    </row>
    <row r="29" spans="1:55" ht="15.75" x14ac:dyDescent="0.25">
      <c r="A29" s="20"/>
      <c r="B29" s="3"/>
      <c r="E29" s="2"/>
      <c r="G29"/>
      <c r="M29" s="371"/>
    </row>
    <row r="30" spans="1:55" x14ac:dyDescent="0.2">
      <c r="A30" s="257"/>
      <c r="B30" s="3"/>
      <c r="C30" s="257"/>
      <c r="E30" s="2"/>
    </row>
    <row r="31" spans="1:55" x14ac:dyDescent="0.2">
      <c r="A31" s="257"/>
      <c r="B31" s="3"/>
      <c r="C31" s="257"/>
    </row>
    <row r="32" spans="1:55" x14ac:dyDescent="0.2">
      <c r="A32" s="257"/>
      <c r="B32" s="3"/>
      <c r="C32" s="257"/>
      <c r="E32" s="2"/>
    </row>
    <row r="33" spans="1:5" x14ac:dyDescent="0.2">
      <c r="A33" s="257"/>
      <c r="B33" s="3"/>
      <c r="C33" s="257"/>
      <c r="E33" s="2"/>
    </row>
    <row r="34" spans="1:5" x14ac:dyDescent="0.2">
      <c r="A34" s="21"/>
      <c r="B34" s="21"/>
      <c r="E34" s="2"/>
    </row>
    <row r="35" spans="1:5" x14ac:dyDescent="0.2">
      <c r="A35" s="21"/>
      <c r="B35" s="21"/>
      <c r="E35" s="2"/>
    </row>
    <row r="36" spans="1:5" x14ac:dyDescent="0.2">
      <c r="A36" s="21"/>
      <c r="B36" s="21"/>
      <c r="E36" s="2"/>
    </row>
    <row r="37" spans="1:5" x14ac:dyDescent="0.2">
      <c r="A37" s="21"/>
      <c r="B37" s="21"/>
      <c r="E37" s="2"/>
    </row>
    <row r="38" spans="1:5" x14ac:dyDescent="0.2">
      <c r="A38" s="257"/>
      <c r="B38" s="21"/>
      <c r="E38" s="2"/>
    </row>
    <row r="39" spans="1:5" x14ac:dyDescent="0.2">
      <c r="A39" s="257"/>
      <c r="B39" s="21"/>
      <c r="E39" s="2"/>
    </row>
    <row r="40" spans="1:5" x14ac:dyDescent="0.2">
      <c r="A40" s="257"/>
      <c r="E40" s="2"/>
    </row>
    <row r="41" spans="1:5" x14ac:dyDescent="0.2">
      <c r="A41" s="257"/>
      <c r="E41" s="2"/>
    </row>
    <row r="42" spans="1:5" x14ac:dyDescent="0.2">
      <c r="E42" s="2"/>
    </row>
    <row r="43" spans="1:5" x14ac:dyDescent="0.2">
      <c r="E43" s="2"/>
    </row>
    <row r="44" spans="1:5" x14ac:dyDescent="0.2">
      <c r="E44" s="2"/>
    </row>
  </sheetData>
  <protectedRanges>
    <protectedRange sqref="D5:F8 D10:G13 E15:E22 D23 H5:O8" name="DDR2Clk_1"/>
  </protectedRanges>
  <mergeCells count="1">
    <mergeCell ref="C1:P1"/>
  </mergeCells>
  <phoneticPr fontId="4" type="noConversion"/>
  <conditionalFormatting sqref="A1:AT1">
    <cfRule type="expression" dxfId="160" priority="12" stopIfTrue="1">
      <formula>$C$1 = "Fail"</formula>
    </cfRule>
    <cfRule type="expression" dxfId="159" priority="13" stopIfTrue="1">
      <formula>$C$1 = "Pass"</formula>
    </cfRule>
  </conditionalFormatting>
  <conditionalFormatting sqref="U5:V8 X5:Y8">
    <cfRule type="cellIs" dxfId="158" priority="8" stopIfTrue="1" operator="equal">
      <formula>"Pass"</formula>
    </cfRule>
    <cfRule type="cellIs" dxfId="157" priority="9" stopIfTrue="1" operator="equal">
      <formula>"""Pass"""</formula>
    </cfRule>
  </conditionalFormatting>
  <conditionalFormatting sqref="U10:V13">
    <cfRule type="cellIs" dxfId="156" priority="10" stopIfTrue="1" operator="equal">
      <formula>"Pass"</formula>
    </cfRule>
    <cfRule type="cellIs" dxfId="155" priority="11" stopIfTrue="1" operator="notEqual">
      <formula>"Pass"</formula>
    </cfRule>
  </conditionalFormatting>
  <conditionalFormatting sqref="U14:Z14 P15:U22 O23:T23">
    <cfRule type="cellIs" priority="5" stopIfTrue="1" operator="equal">
      <formula>""""""</formula>
    </cfRule>
  </conditionalFormatting>
  <conditionalFormatting sqref="Z5:AA8 AC5:AT8 Z10:Z13 AA10:AT14 V15:AI22 AJ15:AT23 U23:AI23">
    <cfRule type="cellIs" dxfId="154" priority="1" stopIfTrue="1" operator="equal">
      <formula>"Pass"</formula>
    </cfRule>
  </conditionalFormatting>
  <conditionalFormatting sqref="Z5:AA8 AE5:AT8 Z10:Z13 AP10:AT13 AA10:AO14 V15:AI22 AO15:AP22 AJ15:AN23 U23:AI23">
    <cfRule type="cellIs" dxfId="153" priority="2" stopIfTrue="1" operator="notEqual">
      <formula>"pass"</formula>
    </cfRule>
  </conditionalFormatting>
  <conditionalFormatting sqref="AC5:AD8">
    <cfRule type="cellIs" dxfId="152" priority="7" stopIfTrue="1" operator="notEqual">
      <formula>"Pass"</formula>
    </cfRule>
  </conditionalFormatting>
  <conditionalFormatting sqref="AP14:AT14 AQ15:AT22 AO23:AT23">
    <cfRule type="cellIs" dxfId="151" priority="4" stopIfTrue="1" operator="notEqual">
      <formula>"pass"</formula>
    </cfRule>
  </conditionalFormatting>
  <pageMargins left="0.75" right="0.75" top="1" bottom="1" header="0.5" footer="0.5"/>
  <pageSetup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Visio.Drawing.11" shapeId="3260" r:id="rId4">
          <objectPr defaultSize="0" autoPict="0" r:id="rId5">
            <anchor moveWithCells="1">
              <from>
                <xdr:col>3</xdr:col>
                <xdr:colOff>914400</xdr:colOff>
                <xdr:row>45</xdr:row>
                <xdr:rowOff>28575</xdr:rowOff>
              </from>
              <to>
                <xdr:col>11</xdr:col>
                <xdr:colOff>95250</xdr:colOff>
                <xdr:row>58</xdr:row>
                <xdr:rowOff>95250</xdr:rowOff>
              </to>
            </anchor>
          </objectPr>
        </oleObject>
      </mc:Choice>
      <mc:Fallback>
        <oleObject progId="Visio.Drawing.11" shapeId="3260" r:id="rId4"/>
      </mc:Fallback>
    </mc:AlternateContent>
    <mc:AlternateContent xmlns:mc="http://schemas.openxmlformats.org/markup-compatibility/2006">
      <mc:Choice Requires="x14">
        <oleObject progId="Visio.Drawing.11" shapeId="3261" r:id="rId6">
          <objectPr defaultSize="0" autoPict="0" r:id="rId7">
            <anchor moveWithCells="1">
              <from>
                <xdr:col>4</xdr:col>
                <xdr:colOff>66675</xdr:colOff>
                <xdr:row>25</xdr:row>
                <xdr:rowOff>47625</xdr:rowOff>
              </from>
              <to>
                <xdr:col>11</xdr:col>
                <xdr:colOff>38100</xdr:colOff>
                <xdr:row>44</xdr:row>
                <xdr:rowOff>19050</xdr:rowOff>
              </to>
            </anchor>
          </objectPr>
        </oleObject>
      </mc:Choice>
      <mc:Fallback>
        <oleObject progId="Visio.Drawing.11" shapeId="3261" r:id="rId6"/>
      </mc:Fallback>
    </mc:AlternateContent>
  </oleObject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7"/>
  <dimension ref="A1:AV57"/>
  <sheetViews>
    <sheetView zoomScale="75" workbookViewId="0">
      <selection activeCell="AS27" sqref="AS27"/>
    </sheetView>
  </sheetViews>
  <sheetFormatPr defaultRowHeight="12.75" x14ac:dyDescent="0.2"/>
  <cols>
    <col min="1" max="1" width="14" customWidth="1"/>
    <col min="2" max="2" width="10.42578125" customWidth="1"/>
    <col min="3" max="3" width="10" bestFit="1" customWidth="1"/>
    <col min="4" max="4" width="10.5703125" bestFit="1" customWidth="1"/>
    <col min="5" max="6" width="11" bestFit="1" customWidth="1"/>
    <col min="7" max="7" width="10.85546875" bestFit="1" customWidth="1"/>
    <col min="8" max="10" width="12.28515625" bestFit="1" customWidth="1"/>
    <col min="11" max="11" width="16" customWidth="1"/>
    <col min="12" max="13" width="11.5703125" customWidth="1"/>
    <col min="14" max="14" width="20.28515625" customWidth="1"/>
    <col min="15" max="15" width="23.140625" customWidth="1"/>
    <col min="16" max="16" width="19.7109375" customWidth="1"/>
    <col min="17" max="17" width="19.5703125" customWidth="1"/>
    <col min="18" max="18" width="19" style="1" customWidth="1"/>
    <col min="19" max="19" width="12.140625" customWidth="1"/>
    <col min="20" max="20" width="14.7109375" customWidth="1"/>
    <col min="21" max="22" width="16" customWidth="1"/>
    <col min="23" max="23" width="13.28515625" customWidth="1"/>
    <col min="24" max="24" width="21.42578125" customWidth="1"/>
    <col min="25" max="25" width="15.140625" customWidth="1"/>
    <col min="26" max="26" width="13.28515625" customWidth="1"/>
    <col min="27" max="28" width="14.42578125" customWidth="1"/>
    <col min="29" max="29" width="22.5703125" bestFit="1" customWidth="1"/>
    <col min="30" max="30" width="17.28515625" customWidth="1"/>
    <col min="31" max="31" width="16" customWidth="1"/>
    <col min="32" max="32" width="18.28515625" customWidth="1"/>
    <col min="33" max="33" width="17.42578125" customWidth="1"/>
    <col min="34" max="34" width="17.85546875" bestFit="1" customWidth="1"/>
    <col min="35" max="35" width="14.85546875" hidden="1" customWidth="1"/>
    <col min="36" max="36" width="14" hidden="1" customWidth="1"/>
    <col min="37" max="37" width="13.28515625" hidden="1" customWidth="1"/>
    <col min="38" max="38" width="12.140625" bestFit="1" customWidth="1"/>
    <col min="39" max="39" width="12.7109375" bestFit="1" customWidth="1"/>
  </cols>
  <sheetData>
    <row r="1" spans="1:37" s="2" customFormat="1" ht="26.25" x14ac:dyDescent="0.2">
      <c r="A1" s="397" t="s">
        <v>61</v>
      </c>
      <c r="B1" s="398"/>
      <c r="C1" s="398"/>
      <c r="D1" s="398"/>
      <c r="E1" s="399" t="e">
        <f ca="1">IF(AND(AJ5="Pass",AJ22="Pass"),"Pass","Fail")</f>
        <v>#REF!</v>
      </c>
      <c r="F1" s="398"/>
      <c r="G1" s="398"/>
      <c r="H1" s="398"/>
      <c r="I1" s="398"/>
      <c r="J1" s="398"/>
      <c r="K1" s="398"/>
      <c r="L1" s="398"/>
      <c r="M1" s="398"/>
      <c r="N1" s="398"/>
      <c r="O1" s="399"/>
      <c r="P1" s="399"/>
      <c r="Q1" s="399"/>
      <c r="R1" s="399"/>
      <c r="S1" s="399"/>
      <c r="T1" s="399"/>
      <c r="U1" s="399"/>
      <c r="V1" s="399"/>
      <c r="W1" s="399"/>
      <c r="X1" s="400"/>
      <c r="Y1" s="401"/>
      <c r="Z1" s="401"/>
      <c r="AA1" s="402"/>
      <c r="AB1" s="402"/>
      <c r="AC1" s="402"/>
      <c r="AD1" s="402"/>
      <c r="AE1" s="402"/>
      <c r="AF1" s="402"/>
      <c r="AG1" s="402"/>
      <c r="AH1" s="403"/>
      <c r="AI1" s="4"/>
      <c r="AJ1" s="4"/>
      <c r="AK1" s="4"/>
    </row>
    <row r="2" spans="1:37" s="2" customFormat="1" ht="26.25" x14ac:dyDescent="0.2">
      <c r="A2" s="404" t="s">
        <v>58</v>
      </c>
      <c r="B2" s="267" t="e">
        <f>#REF!</f>
        <v>#REF!</v>
      </c>
      <c r="C2" s="78"/>
      <c r="D2" s="76"/>
      <c r="E2" s="79"/>
      <c r="F2" s="79"/>
      <c r="G2" s="405"/>
      <c r="H2" s="405"/>
      <c r="I2" s="405"/>
      <c r="J2" s="405"/>
      <c r="K2" s="405"/>
      <c r="L2" s="405"/>
      <c r="M2" s="405"/>
      <c r="N2" s="405"/>
      <c r="O2" s="405"/>
      <c r="P2" s="405"/>
      <c r="Q2" s="405"/>
      <c r="R2" s="406"/>
      <c r="S2" s="407"/>
      <c r="T2" s="405"/>
      <c r="U2" s="405"/>
      <c r="V2" s="405"/>
      <c r="W2" s="407"/>
      <c r="X2" s="407"/>
      <c r="Y2" s="407"/>
      <c r="Z2" s="407"/>
      <c r="AA2" s="407"/>
      <c r="AB2" s="407"/>
      <c r="AC2" s="407"/>
      <c r="AD2" s="407"/>
      <c r="AE2" s="407"/>
      <c r="AF2" s="407"/>
      <c r="AG2" s="407"/>
      <c r="AH2" s="408"/>
    </row>
    <row r="3" spans="1:37" s="2" customFormat="1" ht="116.25" customHeight="1" x14ac:dyDescent="0.2">
      <c r="A3" s="86" t="s">
        <v>456</v>
      </c>
      <c r="B3" s="86" t="s">
        <v>511</v>
      </c>
      <c r="C3" s="87" t="s">
        <v>458</v>
      </c>
      <c r="D3" s="87" t="e">
        <f>"Escape
Length L1 [" &amp; B2
&amp;"]"</f>
        <v>#REF!</v>
      </c>
      <c r="E3" s="87" t="e">
        <f>"Breakout
Length L2
[" &amp;B2 &amp;"]"</f>
        <v>#REF!</v>
      </c>
      <c r="F3" s="87" t="e">
        <f>"Main
Length L3
[" &amp;B2 &amp;"]"</f>
        <v>#REF!</v>
      </c>
      <c r="G3" s="87" t="e">
        <f>"Length L3S
[" &amp;B2 &amp;"]"</f>
        <v>#REF!</v>
      </c>
      <c r="H3" s="107" t="e">
        <f>"Stripline Length to SDRAM L4 [" &amp; B2 &amp; "]"</f>
        <v>#REF!</v>
      </c>
      <c r="I3" s="107" t="e">
        <f>"Route to SDRAM L5 ["&amp;B2&amp;"]"</f>
        <v>#REF!</v>
      </c>
      <c r="J3" s="107" t="e">
        <f>"Breakin to SDRAM L6  ["&amp;B2&amp;"]"</f>
        <v>#REF!</v>
      </c>
      <c r="K3" s="107" t="e">
        <f>"Route to Rload L7 ["&amp;B2&amp;"]"</f>
        <v>#REF!</v>
      </c>
      <c r="L3" s="107" t="e">
        <f>"Breakin to Rload L8 ["&amp;B2&amp;"]"</f>
        <v>#REF!</v>
      </c>
      <c r="M3" s="107" t="e">
        <f>"Microstrip segment to Cap L9 ["&amp;B2&amp;"]"</f>
        <v>#REF!</v>
      </c>
      <c r="N3" s="89" t="e">
        <f>"Total MB Length
(SODIMM -&gt; L0+L1+L2+S1) or (SDRAM -&gt; L1+L2+L3+L3S+L4+L5+L6)
[" &amp;B2 &amp;"]"</f>
        <v>#REF!</v>
      </c>
      <c r="O3" s="88" t="e">
        <f>"Total channel length including GMCH package length 
(SODIMM -&gt; P1+L1+L2+L3+S1) or (SDRAM -&gt; P1+L1+L2+L3+L3S+L4+L5+L6)
[" &amp;B2 &amp;"]"</f>
        <v>#REF!</v>
      </c>
      <c r="P3" s="88" t="e">
        <f>"Target CSFF 
Pad-to-SODIMM or SDRAM Pin 
Length 
[" &amp;B2 &amp;"]"</f>
        <v>#REF!</v>
      </c>
      <c r="Q3" s="88" t="e">
        <f>"Routed Too Short [" &amp;B2 &amp;"]"</f>
        <v>#REF!</v>
      </c>
      <c r="R3" s="88" t="e">
        <f>"Routed Too Long [" &amp;B2 &amp;"]"</f>
        <v>#REF!</v>
      </c>
      <c r="S3" s="88" t="e">
        <f>"L1 Length Test
(&lt;="&amp; IF(B2="mil",1,0.0254)*50 &amp; B2 &amp;")"</f>
        <v>#REF!</v>
      </c>
      <c r="T3" s="88" t="e">
        <f>"L2 Length Test  (&lt;="&amp;IF($B$2="mil",1,0.0254)*500&amp;$B$2&amp;")"</f>
        <v>#REF!</v>
      </c>
      <c r="U3" s="88" t="e">
        <f>"S1 Length Test
(&lt;="&amp;IF($B$2="mil",1,0.0254)*200&amp;$B$2&amp;")"</f>
        <v>#REF!</v>
      </c>
      <c r="V3" s="88" t="e">
        <f>"L4 Length Test  (&lt;="&amp;IF($B$2="mil",1,0.0254)*500&amp;$B$2&amp;")"</f>
        <v>#REF!</v>
      </c>
      <c r="W3" s="88" t="e">
        <f>"L5 Length Test  (&lt;="&amp;IF($B$2="mil",1,0.0254)*500&amp;$B$2&amp;")"</f>
        <v>#REF!</v>
      </c>
      <c r="X3" s="88" t="e">
        <f>"L5 Matching Test (Maximum L5(a=a b=b) - Minimum L5(a=a b=b) &lt;="&amp;IF($B$2="mil",1,0.0254)*50&amp;IF($B$2="mil","mil","mm")&amp;") 
Note: Neg is too long, Pos is too short"</f>
        <v>#REF!</v>
      </c>
      <c r="Y3" s="88" t="e">
        <f>"L6 Length Test  (L6 &lt;= "&amp;IF($B$2="mil",1,0.0254)*200&amp;$B$2&amp;") or (L4+L5+L6&lt;= "&amp;IF($B$2="mil",1,0.0254)*1200&amp;$B$2&amp;")"</f>
        <v>#REF!</v>
      </c>
      <c r="Z3" s="88" t="e">
        <f>"L7 Length Test  (&lt;="&amp;IF($B$2="mil",1,0.0254)*500&amp;$B$2&amp;")"</f>
        <v>#REF!</v>
      </c>
      <c r="AA3" s="88" t="e">
        <f>"L8  Length Test  (&lt;="&amp;IF($B$2="mil",1,0.0254)*250&amp;$B$2&amp;")"&amp;" or (L7+L8&lt;="&amp;IF($B$2="mil",1,0.0254)*750&amp;$B$2&amp;")"</f>
        <v>#REF!</v>
      </c>
      <c r="AB3" s="88" t="e">
        <f>"L9 Length Test (&lt;=" &amp; IF($B$2="mil",1,0.0254)*250&amp;$B$2&amp;")"</f>
        <v>#REF!</v>
      </c>
      <c r="AC3" s="88" t="e">
        <f>"Total MB Length to Top SDRAM
(L1+L2+L3+L3S+L4+L5+L6) 
Test 
(" &amp; IF($B$2="mil",1,25.4)*0.5&amp;IF($B$2="mil","in","mm") &amp;"-"&amp; IF($B$2="mil",1,25.4)*5&amp;IF($B$2="mil","in","mm")&amp;")"</f>
        <v>#REF!</v>
      </c>
      <c r="AD3" s="88" t="e">
        <f>"Total Length to Top SDRAM
(P1+L1+L2+L3+L3S+L4+L5+L6)
Test
(&lt;="&amp;IF($B$2="mil",1,25.4)*5.5&amp;IF($B$2="mil","in","mm")&amp;")"</f>
        <v>#REF!</v>
      </c>
      <c r="AE3" s="88" t="e">
        <f>"Total MB Length to SODIMM
(L0+L1+L2+S1) 
Test 
(" &amp; IF($B$2="mil",1,25.4)*0.5&amp;IF($B$2="mil","in","mm") &amp;"-"&amp; IF($B$2="mil",1,25.4)*3.25&amp;IF($B$2="mil","in","mm")&amp;")"</f>
        <v>#REF!</v>
      </c>
      <c r="AF3" s="88" t="e">
        <f>"Total Length to SODIMM
(P1+L0+L1+L2+S1)
Test
(&lt;="&amp;IF($B$2="mil",1,25.4)*4&amp;IF($B$2="mil","in","mm")&amp;")"</f>
        <v>#REF!</v>
      </c>
      <c r="AG3" s="88" t="e">
        <f>"SCK-SCK# 
Length Test  to SODIMM or Top SDRAM
(&lt;="&amp;IF($B$2="mil",1,25.4)*5&amp;IF($B$2="mil","mil","mm")&amp;")"</f>
        <v>#REF!</v>
      </c>
      <c r="AH3" s="88" t="e">
        <f>"Clock Pair to Clock Pair Length Test at SODIMM (&lt;="&amp;IF($B$2="mil",1,25.4)*20&amp;IF($B$2="mil","mil","mm")&amp;")"</f>
        <v>#REF!</v>
      </c>
    </row>
    <row r="4" spans="1:37" s="2" customFormat="1" x14ac:dyDescent="0.2">
      <c r="A4" s="94" t="s">
        <v>255</v>
      </c>
      <c r="B4" s="94"/>
      <c r="C4" s="7"/>
      <c r="D4" s="9"/>
      <c r="E4" s="9"/>
      <c r="F4" s="113"/>
      <c r="G4" s="113"/>
      <c r="H4" s="11"/>
      <c r="I4" s="11"/>
      <c r="J4" s="11"/>
      <c r="K4" s="11"/>
      <c r="L4" s="11"/>
      <c r="M4" s="11"/>
      <c r="N4" s="11"/>
      <c r="O4" s="8"/>
      <c r="P4" s="12"/>
      <c r="Q4" s="12"/>
      <c r="R4" s="376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0"/>
      <c r="AF4" s="120"/>
      <c r="AG4" s="12"/>
      <c r="AH4" s="239"/>
    </row>
    <row r="5" spans="1:37" s="2" customFormat="1" x14ac:dyDescent="0.2">
      <c r="A5" s="560" t="s">
        <v>303</v>
      </c>
      <c r="B5" s="561" t="s">
        <v>461</v>
      </c>
      <c r="C5" s="562">
        <v>911.14173228346465</v>
      </c>
      <c r="D5" s="17">
        <v>22.63</v>
      </c>
      <c r="E5" s="17">
        <v>0</v>
      </c>
      <c r="F5" s="270">
        <v>2974.63</v>
      </c>
      <c r="G5" s="270">
        <v>0</v>
      </c>
      <c r="H5" s="270">
        <v>341.44</v>
      </c>
      <c r="I5" s="270">
        <v>0</v>
      </c>
      <c r="J5" s="270">
        <v>140.25</v>
      </c>
      <c r="K5" s="271">
        <v>342.71</v>
      </c>
      <c r="L5" s="271">
        <v>31.04</v>
      </c>
      <c r="M5" s="270">
        <v>29.54</v>
      </c>
      <c r="N5" s="441">
        <f xml:space="preserve"> SUM(D5:F5,H5,I5:J5)</f>
        <v>3478.9500000000003</v>
      </c>
      <c r="O5" s="441" t="e">
        <f t="shared" ref="O5:O14" si="0">IF($B$2="mil",1,0.0254)*C5+N5</f>
        <v>#REF!</v>
      </c>
      <c r="P5" s="442">
        <f>$E$27</f>
        <v>4400</v>
      </c>
      <c r="Q5" s="443" t="e">
        <f>IF($P5-$O5&lt;IF($B$2="mil",1,0.0254)*10,"Pass",$P5-$O5-IF($B$2="mil",1,0.0254)*10)</f>
        <v>#REF!</v>
      </c>
      <c r="R5" s="444" t="e">
        <f>IF($O5-$P5&lt;IF($B$2="mil",1,0.0254)*10,"Pass",$O5-$P5-IF($B$2="mil",1,0.0254)*10)</f>
        <v>#REF!</v>
      </c>
      <c r="S5" s="445" t="e">
        <f>IF($D5&lt;=IF($B$2="mil",1,0.0254)*50,"Pass",IF($B$2="mil",1,0.0254)*50-$D5)</f>
        <v>#REF!</v>
      </c>
      <c r="T5" s="445" t="e">
        <f>IF($E5&lt;=IF($B$2="mil",1,0.0254)*500,"Pass",IF($B$2="mil",1,0.0254)*500-$E5)</f>
        <v>#REF!</v>
      </c>
      <c r="U5" s="446"/>
      <c r="V5" s="445" t="e">
        <f>IF($H5&lt;=IF($B$2="mil",1,0.0254)*500,"Pass",IF($B$2="mil",1,0.0254)*500-$H5)</f>
        <v>#REF!</v>
      </c>
      <c r="W5" s="445" t="e">
        <f>IF($I5&lt;=IF($B$2="mil",1,0.0254)*500,"Pass",IF($B$2="mil",1,0.0254)*500-$I5)</f>
        <v>#REF!</v>
      </c>
      <c r="X5" s="445" t="e">
        <f>IF(MAX(I$5:I$6,I$9:I$10)-MIN(I$5:I$6,I$9:I$10)&lt;=IF($B$2="mil",1,0.0254)*50,"Pass",MAX(I$5:I$6,I$9:I$10)-MIN(I5)-IF($B$2="mil",1,0.0254)*50)</f>
        <v>#REF!</v>
      </c>
      <c r="Y5" s="447" t="e">
        <f ca="1">CheckLength2(IF($B$2="mil",1,0.0254)*1200,H5,I5,J5)</f>
        <v>#NAME?</v>
      </c>
      <c r="Z5" s="445" t="e">
        <f>IF($K5&lt;=IF($B$2="mil",1,0.0254)*500,"Pass",IF($B$2="mil",1,0.0254)*500-$K5)</f>
        <v>#REF!</v>
      </c>
      <c r="AA5" s="445" t="e">
        <f ca="1">CheckLength2(IF($B$2="mil",1,0.0254)*750,K5,L5,0)</f>
        <v>#NAME?</v>
      </c>
      <c r="AB5" s="445" t="e">
        <f>IF($M5&lt;=IF($B$2="mil",1,0.0254)*250,"Pass",IF($B$2="mil",1,0.0254)*250-$K6)</f>
        <v>#REF!</v>
      </c>
      <c r="AC5" s="447" t="e">
        <f>IF(AND($N5&gt;=IF($B$2="mil",1,0.0254)*500, $N5&lt;=IF($B$2="mil",1,0.0254)*5000),"Pass",IF(($N5&gt;=IF($B$2="mil",1,0.0254)*500), IF($B$2="mil",1,0.0254)*5000-$N5, IF($B$2="mil",1,0.0254)*500-$N5))</f>
        <v>#REF!</v>
      </c>
      <c r="AD5" s="447" t="e">
        <f>IF( $O5&lt;=IF($B$2="mil",1,0.0254)*5500,"Pass", IF($B$2="mil",1,0.0254)*5500-$O5)</f>
        <v>#REF!</v>
      </c>
      <c r="AE5" s="448"/>
      <c r="AF5" s="241"/>
      <c r="AG5" s="449" t="e">
        <f>IF((ABS($O5-$O6)&lt;=IF($B$2="mil",1,0.0254)*5),"Pass",ABS($O5-$O6))</f>
        <v>#REF!</v>
      </c>
      <c r="AH5" s="450"/>
      <c r="AI5" s="2" t="e">
        <f ca="1">IF(AND(S5="Pass",T5="Pass",W5="Pass",V5="Pass",X5="Pass",Y5="Pass",Z5="Pass",AA5="Pass",AC5="Pass",AD5="Pass",AG5="Pass",Q5="Pass",R5="Pass"),"Pass","Fail")</f>
        <v>#REF!</v>
      </c>
      <c r="AJ5" s="2" t="e">
        <f ca="1">IF(AND(AI5="Pass",AI6="Pass",AI7="Pass",AI8="Pass",AI9="Pass",AI10="Pass",AI11="Pass",AI12="Pass",AI13="Pass",AI14="Pass",AI15="Pass",AI16="Pass",AI17="Pass",AI18="Pass",AI19="Pass",AI20="Pass"),"Pass","Fail")</f>
        <v>#REF!</v>
      </c>
    </row>
    <row r="6" spans="1:37" s="2" customFormat="1" x14ac:dyDescent="0.2">
      <c r="A6" s="560" t="s">
        <v>304</v>
      </c>
      <c r="B6" s="561" t="s">
        <v>464</v>
      </c>
      <c r="C6" s="562">
        <v>911.18110236220468</v>
      </c>
      <c r="D6" s="17">
        <v>22.63</v>
      </c>
      <c r="E6" s="17">
        <v>0</v>
      </c>
      <c r="F6" s="270">
        <v>2938.07</v>
      </c>
      <c r="G6" s="270">
        <v>0</v>
      </c>
      <c r="H6" s="270">
        <v>386.19</v>
      </c>
      <c r="I6" s="270">
        <v>0</v>
      </c>
      <c r="J6" s="270">
        <v>133.82</v>
      </c>
      <c r="K6" s="271">
        <v>325.58999999999997</v>
      </c>
      <c r="L6" s="271">
        <v>33.04</v>
      </c>
      <c r="M6" s="270">
        <v>28.71</v>
      </c>
      <c r="N6" s="441">
        <f t="shared" ref="N6:N14" si="1" xml:space="preserve"> SUM(D6:F6,H6,I6:J6)</f>
        <v>3480.7100000000005</v>
      </c>
      <c r="O6" s="441" t="e">
        <f t="shared" si="0"/>
        <v>#REF!</v>
      </c>
      <c r="P6" s="442">
        <f>$E$27</f>
        <v>4400</v>
      </c>
      <c r="Q6" s="443" t="e">
        <f t="shared" ref="Q6:Q20" si="2">IF($P6-$O6&lt;IF($B$2="mil",1,0.0254)*10,"Pass",$P6-$O6-IF($B$2="mil",1,0.0254)*10)</f>
        <v>#REF!</v>
      </c>
      <c r="R6" s="444" t="e">
        <f t="shared" ref="R6:R20" si="3">IF($O6-$P6&lt;IF($B$2="mil",1,0.0254)*10,"Pass",$O6-$P6-IF($B$2="mil",1,0.0254)*10)</f>
        <v>#REF!</v>
      </c>
      <c r="S6" s="445" t="e">
        <f>IF($D6&lt;=IF($B$2="mil",1,0.0254)*35,"Pass",IF($B$2="mil",1,0.0254)*35-$D6)</f>
        <v>#REF!</v>
      </c>
      <c r="T6" s="445" t="e">
        <f>IF($E6&lt;=IF($B$2="mil",1,0.0254)*500,"Pass",IF($B$2="mil",1,0.0254)*500-$E6)</f>
        <v>#REF!</v>
      </c>
      <c r="U6" s="451"/>
      <c r="V6" s="445" t="e">
        <f>IF($H6&lt;=IF($B$2="mil",1,0.0254)*500,"Pass",IF($B$2="mil",1,0.0254)*500-$H6)</f>
        <v>#REF!</v>
      </c>
      <c r="W6" s="445" t="e">
        <f t="shared" ref="W6:W20" si="4">IF($I6&lt;=IF($B$2="mil",1,0.0254)*500,"Pass",IF($B$2="mil",1,0.0254)*500-$I6)</f>
        <v>#REF!</v>
      </c>
      <c r="X6" s="445" t="e">
        <f>IF(MAX(I$5:I$6,I$9:I$10)-MIN(I$5:I$6,I$9:I$10)&lt;=IF($B$2="mil",1,0.0254)*50,"Pass",MAX(I$5:I$6,I$9:I$10)-MIN(I6)-IF($B$2="mil",1,0.0254)*50)</f>
        <v>#REF!</v>
      </c>
      <c r="Y6" s="447" t="e">
        <f t="shared" ref="Y6:Y20" ca="1" si="5">CheckLength2(IF($B$2="mil",1,0.0254)*1200,H6,I6,J6)</f>
        <v>#NAME?</v>
      </c>
      <c r="Z6" s="445" t="e">
        <f>IF($K6&lt;=IF($B$2="mil",1,0.0254)*500,"Pass",IF($B$2="mil",1,0.0254)*500-$K6)</f>
        <v>#REF!</v>
      </c>
      <c r="AA6" s="445" t="e">
        <f ca="1">CheckLength2(IF($B$2="mil",1,0.0254)*750,K6,L6,0)</f>
        <v>#NAME?</v>
      </c>
      <c r="AB6" s="445" t="e">
        <f t="shared" ref="AB6:AB20" si="6">IF($M6&lt;=IF($B$2="mil",1,0.0254)*250,"Pass",IF($B$2="mil",1,0.0254)*250-$K7)</f>
        <v>#REF!</v>
      </c>
      <c r="AC6" s="447" t="e">
        <f t="shared" ref="AC6:AC20" si="7">IF(AND($N6&gt;=IF($B$2="mil",1,0.0254)*500, $N6&lt;=IF($B$2="mil",1,0.0254)*5000),"Pass",IF(($N6&gt;=IF($B$2="mil",1,0.0254)*500), IF($B$2="mil",1,0.0254)*5000-$N6, IF($B$2="mil",1,0.0254)*500-$N6))</f>
        <v>#REF!</v>
      </c>
      <c r="AD6" s="447" t="e">
        <f t="shared" ref="AD6:AD20" si="8">IF( $O6&lt;=IF($B$2="mil",1,0.0254)*5500,"Pass", IF($B$2="mil",1,0.0254)*5500-$O6)</f>
        <v>#REF!</v>
      </c>
      <c r="AE6" s="452"/>
      <c r="AF6" s="331"/>
      <c r="AG6" s="449" t="e">
        <f>IF((ABS($O6-$O5)&lt;=IF($B$2="mil",1,0.0254)*5),"Pass",ABS($O6-$O5))</f>
        <v>#REF!</v>
      </c>
      <c r="AH6" s="453"/>
      <c r="AI6" s="2" t="e">
        <f ca="1">IF(AND(S6="Pass",T6="Pass",W6="Pass",V6="Pass",X6="Pass",Y6="Pass",Z6="Pass",AA6="Pass",AC6="Pass",AD6="Pass",AG6="Pass",Q6="Pass",R6="Pass"),"Pass","Fail")</f>
        <v>#REF!</v>
      </c>
    </row>
    <row r="7" spans="1:37" s="2" customFormat="1" x14ac:dyDescent="0.2">
      <c r="A7" s="560" t="s">
        <v>307</v>
      </c>
      <c r="B7" s="561" t="s">
        <v>461</v>
      </c>
      <c r="C7" s="562">
        <v>911.14173228346465</v>
      </c>
      <c r="D7" s="441">
        <f>D$5</f>
        <v>22.63</v>
      </c>
      <c r="E7" s="441">
        <f t="shared" ref="E7:G11" si="9">E$5</f>
        <v>0</v>
      </c>
      <c r="F7" s="441">
        <f t="shared" si="9"/>
        <v>2974.63</v>
      </c>
      <c r="G7" s="441">
        <f t="shared" si="9"/>
        <v>0</v>
      </c>
      <c r="H7" s="441">
        <f>H$5</f>
        <v>341.44</v>
      </c>
      <c r="I7" s="270">
        <v>0</v>
      </c>
      <c r="J7" s="270">
        <v>138.44999999999999</v>
      </c>
      <c r="K7" s="441">
        <f>K$5</f>
        <v>342.71</v>
      </c>
      <c r="L7" s="441">
        <f>L$5</f>
        <v>31.04</v>
      </c>
      <c r="M7" s="270">
        <v>29.54</v>
      </c>
      <c r="N7" s="441">
        <f xml:space="preserve"> SUM(D7:F7,H7,I7:J7)</f>
        <v>3477.15</v>
      </c>
      <c r="O7" s="441" t="e">
        <f t="shared" si="0"/>
        <v>#REF!</v>
      </c>
      <c r="P7" s="442">
        <f>$E$31</f>
        <v>4395</v>
      </c>
      <c r="Q7" s="443" t="e">
        <f t="shared" si="2"/>
        <v>#REF!</v>
      </c>
      <c r="R7" s="444" t="e">
        <f t="shared" si="3"/>
        <v>#REF!</v>
      </c>
      <c r="S7" s="114"/>
      <c r="T7" s="115"/>
      <c r="U7" s="451"/>
      <c r="V7" s="451"/>
      <c r="W7" s="445" t="e">
        <f t="shared" si="4"/>
        <v>#REF!</v>
      </c>
      <c r="X7" s="445" t="e">
        <f>IF(MAX(I$7:I$8,I$11:I$12)-MIN(I$7:I$8,I$11:I$12)&lt;=IF($B$2="mil",1,0.0254)*50,"Pass",MAX(I$7:I$8,I$11:I$12)-MIN(I7)-IF($B$2="mil",1,0.0254)*50)</f>
        <v>#REF!</v>
      </c>
      <c r="Y7" s="447" t="e">
        <f t="shared" ca="1" si="5"/>
        <v>#NAME?</v>
      </c>
      <c r="Z7" s="451"/>
      <c r="AA7" s="451"/>
      <c r="AB7" s="445" t="e">
        <f t="shared" si="6"/>
        <v>#REF!</v>
      </c>
      <c r="AC7" s="447" t="e">
        <f t="shared" si="7"/>
        <v>#REF!</v>
      </c>
      <c r="AD7" s="447" t="e">
        <f t="shared" si="8"/>
        <v>#REF!</v>
      </c>
      <c r="AE7" s="452"/>
      <c r="AF7" s="331"/>
      <c r="AG7" s="449" t="e">
        <f>IF((ABS($O7-$O8)&lt;=IF($B$2="mil",1,0.0254)*5),"Pass",ABS($O7-$O8))</f>
        <v>#REF!</v>
      </c>
      <c r="AH7" s="453"/>
      <c r="AI7" s="2" t="e">
        <f ca="1">IF(AND(W7="Pass",X7="Pass",Y7="Pass",AC7="Pass",AD7="Pass",AG7="Pass",Q7="Pass",R7="Pass"),"Pass","Fail")</f>
        <v>#REF!</v>
      </c>
    </row>
    <row r="8" spans="1:37" s="2" customFormat="1" x14ac:dyDescent="0.2">
      <c r="A8" s="560" t="s">
        <v>308</v>
      </c>
      <c r="B8" s="561" t="s">
        <v>464</v>
      </c>
      <c r="C8" s="562">
        <v>911.18110236220468</v>
      </c>
      <c r="D8" s="441">
        <f>D$6</f>
        <v>22.63</v>
      </c>
      <c r="E8" s="441">
        <f t="shared" ref="E8:G12" si="10">E$6</f>
        <v>0</v>
      </c>
      <c r="F8" s="441">
        <f t="shared" si="10"/>
        <v>2938.07</v>
      </c>
      <c r="G8" s="441">
        <f t="shared" si="10"/>
        <v>0</v>
      </c>
      <c r="H8" s="441">
        <f>H$6</f>
        <v>386.19</v>
      </c>
      <c r="I8" s="270">
        <v>0</v>
      </c>
      <c r="J8" s="270">
        <v>128.32</v>
      </c>
      <c r="K8" s="441">
        <f>K$6</f>
        <v>325.58999999999997</v>
      </c>
      <c r="L8" s="441">
        <f>L$6</f>
        <v>33.04</v>
      </c>
      <c r="M8" s="270">
        <v>28.71</v>
      </c>
      <c r="N8" s="441">
        <f t="shared" si="1"/>
        <v>3475.2100000000005</v>
      </c>
      <c r="O8" s="441" t="e">
        <f t="shared" si="0"/>
        <v>#REF!</v>
      </c>
      <c r="P8" s="442">
        <f>$E$31</f>
        <v>4395</v>
      </c>
      <c r="Q8" s="443" t="e">
        <f t="shared" si="2"/>
        <v>#REF!</v>
      </c>
      <c r="R8" s="444" t="e">
        <f t="shared" si="3"/>
        <v>#REF!</v>
      </c>
      <c r="S8" s="116"/>
      <c r="T8" s="117"/>
      <c r="U8" s="451"/>
      <c r="V8" s="451"/>
      <c r="W8" s="445" t="e">
        <f t="shared" si="4"/>
        <v>#REF!</v>
      </c>
      <c r="X8" s="445" t="e">
        <f>IF(MAX(I$7:I$8,I$11:I$12)-MIN(I$7:I$8,I$11:I$12)&lt;=IF($B$2="mil",1,0.0254)*50,"Pass",MAX(I$7:I$8,I$11:I$12)-MIN(I8)-IF($B$2="mil",1,0.0254)*50)</f>
        <v>#REF!</v>
      </c>
      <c r="Y8" s="447" t="e">
        <f t="shared" ca="1" si="5"/>
        <v>#NAME?</v>
      </c>
      <c r="Z8" s="451"/>
      <c r="AA8" s="451"/>
      <c r="AB8" s="445" t="e">
        <f t="shared" si="6"/>
        <v>#REF!</v>
      </c>
      <c r="AC8" s="447" t="e">
        <f t="shared" si="7"/>
        <v>#REF!</v>
      </c>
      <c r="AD8" s="447" t="e">
        <f t="shared" si="8"/>
        <v>#REF!</v>
      </c>
      <c r="AE8" s="452"/>
      <c r="AF8" s="331"/>
      <c r="AG8" s="449" t="e">
        <f>IF((ABS($O8-$O7)&lt;=IF($B$2="mil",1,0.0254)*5),"Pass",ABS($O8-$O7))</f>
        <v>#REF!</v>
      </c>
      <c r="AH8" s="453"/>
      <c r="AI8" s="2" t="e">
        <f ca="1">IF(AND(W8="Pass",X8="Pass",Y8="Pass",AC8="Pass",AD8="Pass",AG8="Pass",Q8="Pass",R8="Pass"),"Pass","Fail")</f>
        <v>#REF!</v>
      </c>
    </row>
    <row r="9" spans="1:37" s="2" customFormat="1" x14ac:dyDescent="0.2">
      <c r="A9" s="560" t="s">
        <v>305</v>
      </c>
      <c r="B9" s="561" t="s">
        <v>461</v>
      </c>
      <c r="C9" s="562">
        <v>911.14173228346465</v>
      </c>
      <c r="D9" s="441">
        <f>D$5</f>
        <v>22.63</v>
      </c>
      <c r="E9" s="441">
        <f t="shared" si="9"/>
        <v>0</v>
      </c>
      <c r="F9" s="441">
        <f t="shared" si="9"/>
        <v>2974.63</v>
      </c>
      <c r="G9" s="441">
        <f t="shared" si="9"/>
        <v>0</v>
      </c>
      <c r="H9" s="270">
        <v>284.88</v>
      </c>
      <c r="I9" s="270">
        <v>0</v>
      </c>
      <c r="J9" s="270">
        <v>147.83000000000001</v>
      </c>
      <c r="K9" s="271">
        <v>349.44</v>
      </c>
      <c r="L9" s="271">
        <v>27.91</v>
      </c>
      <c r="M9" s="270">
        <v>29.54</v>
      </c>
      <c r="N9" s="441">
        <f t="shared" si="1"/>
        <v>3429.9700000000003</v>
      </c>
      <c r="O9" s="441" t="e">
        <f t="shared" si="0"/>
        <v>#REF!</v>
      </c>
      <c r="P9" s="442">
        <f>$E$28</f>
        <v>4350</v>
      </c>
      <c r="Q9" s="443" t="e">
        <f>IF($P9-$O9&lt;IF($B$2="mil",1,0.0254)*10,"Pass",$P9-$O9-IF($B$2="mil",1,0.0254)*10)</f>
        <v>#REF!</v>
      </c>
      <c r="R9" s="444" t="e">
        <f>IF($O9-$P9&lt;IF($B$2="mil",1,0.0254)*10,"Pass",$O9-$P9-IF($B$2="mil",1,0.0254)*10)</f>
        <v>#REF!</v>
      </c>
      <c r="S9" s="116"/>
      <c r="T9" s="117"/>
      <c r="U9" s="451"/>
      <c r="V9" s="445" t="e">
        <f>IF($H9&lt;=IF($B$2="mil",1,0.0254)*500,"Pass",IF($B$2="mil",1,0.0254)*500-$H9)</f>
        <v>#REF!</v>
      </c>
      <c r="W9" s="445" t="e">
        <f t="shared" si="4"/>
        <v>#REF!</v>
      </c>
      <c r="X9" s="445" t="e">
        <f>IF(MAX(I$5:I$6,I$9:I$10)-MIN(I$5:I$6,I$9:I$10)&lt;=IF($B$2="mil",1,0.0254)*50,"Pass",MAX(I$5:I$6,I$9:I$10)-MIN(I9)-IF($B$2="mil",1,0.0254)*50)</f>
        <v>#REF!</v>
      </c>
      <c r="Y9" s="447" t="e">
        <f t="shared" ca="1" si="5"/>
        <v>#NAME?</v>
      </c>
      <c r="Z9" s="445" t="e">
        <f>IF($K9&lt;=IF($B$2="mil",1,0.0254)*500,"Pass",IF($B$2="mil",1,0.0254)*500-$K9)</f>
        <v>#REF!</v>
      </c>
      <c r="AA9" s="445" t="e">
        <f ca="1">CheckLength2(IF($B$2="mil",1,0.0254)*750,K9,L9,0)</f>
        <v>#NAME?</v>
      </c>
      <c r="AB9" s="445" t="e">
        <f t="shared" si="6"/>
        <v>#REF!</v>
      </c>
      <c r="AC9" s="447" t="e">
        <f t="shared" si="7"/>
        <v>#REF!</v>
      </c>
      <c r="AD9" s="447" t="e">
        <f t="shared" si="8"/>
        <v>#REF!</v>
      </c>
      <c r="AE9" s="452"/>
      <c r="AF9" s="331"/>
      <c r="AG9" s="449" t="e">
        <f>IF((ABS($O9-$O10)&lt;=IF($B$2="mil",1,0.0254)*5),"Pass",ABS($O9-$O10))</f>
        <v>#REF!</v>
      </c>
      <c r="AH9" s="453"/>
      <c r="AI9" s="2" t="e">
        <f ca="1">IF(AND(W9="Pass",V9="Pass",X9="Pass",Y9="Pass",Z9="Pass",AA9="Pass",AC9="Pass",AD9="Pass",AG9="Pass",Q9="Pass",R9="Pass"),"Pass","Fail")</f>
        <v>#REF!</v>
      </c>
    </row>
    <row r="10" spans="1:37" s="2" customFormat="1" x14ac:dyDescent="0.2">
      <c r="A10" s="560" t="s">
        <v>306</v>
      </c>
      <c r="B10" s="561" t="s">
        <v>464</v>
      </c>
      <c r="C10" s="562">
        <v>911.18110236220468</v>
      </c>
      <c r="D10" s="441">
        <f>D$6</f>
        <v>22.63</v>
      </c>
      <c r="E10" s="441">
        <f t="shared" si="10"/>
        <v>0</v>
      </c>
      <c r="F10" s="441">
        <f t="shared" si="10"/>
        <v>2938.07</v>
      </c>
      <c r="G10" s="441">
        <f t="shared" si="10"/>
        <v>0</v>
      </c>
      <c r="H10" s="270">
        <v>317.44</v>
      </c>
      <c r="I10" s="270">
        <v>0</v>
      </c>
      <c r="J10" s="270">
        <v>151.55000000000001</v>
      </c>
      <c r="K10" s="271">
        <v>387.12</v>
      </c>
      <c r="L10" s="271">
        <v>27.91</v>
      </c>
      <c r="M10" s="270">
        <v>28.71</v>
      </c>
      <c r="N10" s="441">
        <f xml:space="preserve"> SUM(D10:F10,H10,I10:J10)</f>
        <v>3429.6900000000005</v>
      </c>
      <c r="O10" s="441" t="e">
        <f>IF($B$2="mil",1,0.0254)*C10+N10</f>
        <v>#REF!</v>
      </c>
      <c r="P10" s="442">
        <f>$E$28</f>
        <v>4350</v>
      </c>
      <c r="Q10" s="443" t="e">
        <f t="shared" si="2"/>
        <v>#REF!</v>
      </c>
      <c r="R10" s="444" t="e">
        <f t="shared" si="3"/>
        <v>#REF!</v>
      </c>
      <c r="S10" s="116"/>
      <c r="T10" s="117"/>
      <c r="U10" s="451"/>
      <c r="V10" s="445" t="e">
        <f>IF($I10&lt;=IF($B$2="mil",1,0.0254)*500,"Pass",IF($B$2="mil",1,0.0254)*500-$I10)</f>
        <v>#REF!</v>
      </c>
      <c r="W10" s="445" t="e">
        <f t="shared" si="4"/>
        <v>#REF!</v>
      </c>
      <c r="X10" s="445" t="e">
        <f>IF(MAX(I$5:I$6,I$9:I$10)-MIN(I$5:I$6,I$9:I$10)&lt;=IF($B$2="mil",1,0.0254)*50,"Pass",MAX(I$5:I$6,I$9:I$10)-MIN(I10)-IF($B$2="mil",1,0.0254)*50)</f>
        <v>#REF!</v>
      </c>
      <c r="Y10" s="447" t="e">
        <f t="shared" ca="1" si="5"/>
        <v>#NAME?</v>
      </c>
      <c r="Z10" s="445" t="e">
        <f>IF($K10&lt;=IF($B$2="mil",1,0.0254)*500,"Pass",IF($B$2="mil",1,0.0254)*500-$K10)</f>
        <v>#REF!</v>
      </c>
      <c r="AA10" s="445" t="e">
        <f ca="1">CheckLength2(IF($B$2="mil",1,0.0254)*750,K10,L10,0)</f>
        <v>#NAME?</v>
      </c>
      <c r="AB10" s="445" t="e">
        <f t="shared" si="6"/>
        <v>#REF!</v>
      </c>
      <c r="AC10" s="447" t="e">
        <f t="shared" si="7"/>
        <v>#REF!</v>
      </c>
      <c r="AD10" s="447" t="e">
        <f t="shared" si="8"/>
        <v>#REF!</v>
      </c>
      <c r="AE10" s="452"/>
      <c r="AF10" s="331"/>
      <c r="AG10" s="449" t="e">
        <f>IF((ABS($O10-$O9)&lt;=IF($B$2="mil",1,0.0254)*5),"Pass",ABS($O10-$O9))</f>
        <v>#REF!</v>
      </c>
      <c r="AH10" s="453"/>
      <c r="AI10" s="2" t="e">
        <f ca="1">IF(AND(W10="Pass",V10="Pass",X10="Pass",Y10="Pass",Z10="Pass",AA10="Pass",AC10="Pass",AD10="Pass",AG10="Pass",Q10="Pass",R10="Pass"),"Pass","Fail")</f>
        <v>#REF!</v>
      </c>
    </row>
    <row r="11" spans="1:37" s="2" customFormat="1" x14ac:dyDescent="0.2">
      <c r="A11" s="560" t="s">
        <v>309</v>
      </c>
      <c r="B11" s="561" t="s">
        <v>461</v>
      </c>
      <c r="C11" s="562">
        <v>911.14173228346465</v>
      </c>
      <c r="D11" s="441">
        <f>D$5</f>
        <v>22.63</v>
      </c>
      <c r="E11" s="441">
        <f t="shared" si="9"/>
        <v>0</v>
      </c>
      <c r="F11" s="441">
        <f t="shared" si="9"/>
        <v>2974.63</v>
      </c>
      <c r="G11" s="441">
        <f t="shared" si="9"/>
        <v>0</v>
      </c>
      <c r="H11" s="441">
        <f>H$9</f>
        <v>284.88</v>
      </c>
      <c r="I11" s="270">
        <v>0</v>
      </c>
      <c r="J11" s="270">
        <v>175.53</v>
      </c>
      <c r="K11" s="441">
        <f>K$9</f>
        <v>349.44</v>
      </c>
      <c r="L11" s="441">
        <f>L$9</f>
        <v>27.91</v>
      </c>
      <c r="M11" s="270">
        <v>29.54</v>
      </c>
      <c r="N11" s="441">
        <f t="shared" si="1"/>
        <v>3457.6700000000005</v>
      </c>
      <c r="O11" s="441" t="e">
        <f t="shared" si="0"/>
        <v>#REF!</v>
      </c>
      <c r="P11" s="442">
        <f>$E$32</f>
        <v>4375</v>
      </c>
      <c r="Q11" s="443" t="e">
        <f t="shared" si="2"/>
        <v>#REF!</v>
      </c>
      <c r="R11" s="444" t="e">
        <f t="shared" si="3"/>
        <v>#REF!</v>
      </c>
      <c r="S11" s="116"/>
      <c r="T11" s="117"/>
      <c r="U11" s="451"/>
      <c r="V11" s="451"/>
      <c r="W11" s="445" t="e">
        <f t="shared" si="4"/>
        <v>#REF!</v>
      </c>
      <c r="X11" s="445" t="e">
        <f>IF(MAX(I$7:I$8,I$11:I$12)-MIN(I$7:I$8,I$11:I$12)&lt;=IF($B$2="mil",1,0.0254)*50,"Pass",MAX(I$7:I$8,I$11:I$12)-MIN(I11)-IF($B$2="mil",1,0.0254)*50)</f>
        <v>#REF!</v>
      </c>
      <c r="Y11" s="447" t="e">
        <f t="shared" ca="1" si="5"/>
        <v>#NAME?</v>
      </c>
      <c r="Z11" s="451"/>
      <c r="AA11" s="451"/>
      <c r="AB11" s="445" t="e">
        <f t="shared" si="6"/>
        <v>#REF!</v>
      </c>
      <c r="AC11" s="447" t="e">
        <f t="shared" si="7"/>
        <v>#REF!</v>
      </c>
      <c r="AD11" s="447" t="e">
        <f t="shared" si="8"/>
        <v>#REF!</v>
      </c>
      <c r="AE11" s="452"/>
      <c r="AF11" s="331"/>
      <c r="AG11" s="449" t="e">
        <f>IF((ABS($O11-$O12)&lt;=IF($B$2="mil",1,0.0254)*5),"Pass",ABS($O11-$O12))</f>
        <v>#REF!</v>
      </c>
      <c r="AH11" s="453"/>
      <c r="AI11" s="2" t="e">
        <f ca="1">IF(AND(W11="Pass",X11="Pass",Y11="Pass",AC11="Pass",AD11="Pass",AG11="Pass",Q11="Pass",R11="Pass"),"Pass","Fail")</f>
        <v>#REF!</v>
      </c>
    </row>
    <row r="12" spans="1:37" s="2" customFormat="1" x14ac:dyDescent="0.2">
      <c r="A12" s="560" t="s">
        <v>310</v>
      </c>
      <c r="B12" s="561" t="s">
        <v>464</v>
      </c>
      <c r="C12" s="562">
        <v>911.18110236220468</v>
      </c>
      <c r="D12" s="441">
        <f>D$6</f>
        <v>22.63</v>
      </c>
      <c r="E12" s="441">
        <f t="shared" si="10"/>
        <v>0</v>
      </c>
      <c r="F12" s="441">
        <f t="shared" si="10"/>
        <v>2938.07</v>
      </c>
      <c r="G12" s="441">
        <f t="shared" si="10"/>
        <v>0</v>
      </c>
      <c r="H12" s="441">
        <f>H$10</f>
        <v>317.44</v>
      </c>
      <c r="I12" s="270">
        <v>0</v>
      </c>
      <c r="J12" s="270">
        <v>177.17</v>
      </c>
      <c r="K12" s="441">
        <f>K$10</f>
        <v>387.12</v>
      </c>
      <c r="L12" s="441">
        <f>L$10</f>
        <v>27.91</v>
      </c>
      <c r="M12" s="270">
        <v>28.71</v>
      </c>
      <c r="N12" s="441">
        <f t="shared" si="1"/>
        <v>3455.3100000000004</v>
      </c>
      <c r="O12" s="441" t="e">
        <f t="shared" si="0"/>
        <v>#REF!</v>
      </c>
      <c r="P12" s="442">
        <f>$E$32</f>
        <v>4375</v>
      </c>
      <c r="Q12" s="443" t="e">
        <f t="shared" si="2"/>
        <v>#REF!</v>
      </c>
      <c r="R12" s="444" t="e">
        <f t="shared" si="3"/>
        <v>#REF!</v>
      </c>
      <c r="S12" s="118"/>
      <c r="T12" s="119"/>
      <c r="U12" s="451"/>
      <c r="V12" s="451"/>
      <c r="W12" s="445" t="e">
        <f t="shared" si="4"/>
        <v>#REF!</v>
      </c>
      <c r="X12" s="445" t="e">
        <f>IF(MAX(I$7:I$8,I$11:I$12)-MIN(I$7:I$8,I$11:I$12)&lt;=IF($B$2="mil",1,0.0254)*50,"Pass",MAX(I$7:I$8,I$11:I$12)-MIN(I12)-IF($B$2="mil",1,0.0254)*50)</f>
        <v>#REF!</v>
      </c>
      <c r="Y12" s="447" t="e">
        <f t="shared" ca="1" si="5"/>
        <v>#NAME?</v>
      </c>
      <c r="Z12" s="451"/>
      <c r="AA12" s="451"/>
      <c r="AB12" s="445" t="e">
        <f t="shared" si="6"/>
        <v>#REF!</v>
      </c>
      <c r="AC12" s="447" t="e">
        <f t="shared" si="7"/>
        <v>#REF!</v>
      </c>
      <c r="AD12" s="447" t="e">
        <f t="shared" si="8"/>
        <v>#REF!</v>
      </c>
      <c r="AE12" s="452"/>
      <c r="AF12" s="331"/>
      <c r="AG12" s="449" t="e">
        <f>IF((ABS($O12-$O11)&lt;=IF($B$2="mil",1,0.0254)*5),"Pass",ABS($O12-$O11))</f>
        <v>#REF!</v>
      </c>
      <c r="AH12" s="453"/>
      <c r="AI12" s="2" t="e">
        <f ca="1">IF(AND(W12="Pass",X12="Pass",Y12="Pass",AC12="Pass",AD12="Pass",AG12="Pass",Q12="Pass",R12="Pass"),"Pass","Fail")</f>
        <v>#REF!</v>
      </c>
    </row>
    <row r="13" spans="1:37" s="2" customFormat="1" x14ac:dyDescent="0.2">
      <c r="A13" s="560" t="s">
        <v>311</v>
      </c>
      <c r="B13" s="561" t="s">
        <v>162</v>
      </c>
      <c r="C13" s="562">
        <v>1036.1417322834648</v>
      </c>
      <c r="D13" s="17">
        <v>22.63</v>
      </c>
      <c r="E13" s="17">
        <v>0</v>
      </c>
      <c r="F13" s="270">
        <v>3136.79</v>
      </c>
      <c r="G13" s="270">
        <v>0</v>
      </c>
      <c r="H13" s="270">
        <v>310.72000000000003</v>
      </c>
      <c r="I13" s="270">
        <v>0</v>
      </c>
      <c r="J13" s="270">
        <v>192.22</v>
      </c>
      <c r="K13" s="271">
        <v>495.59</v>
      </c>
      <c r="L13" s="271">
        <v>43.11</v>
      </c>
      <c r="M13" s="270">
        <v>31.04</v>
      </c>
      <c r="N13" s="441">
        <f xml:space="preserve"> SUM(D13:F13,H13,I13:J13)</f>
        <v>3662.36</v>
      </c>
      <c r="O13" s="441" t="e">
        <f t="shared" si="0"/>
        <v>#REF!</v>
      </c>
      <c r="P13" s="442">
        <f>$E$29</f>
        <v>4690</v>
      </c>
      <c r="Q13" s="443" t="e">
        <f t="shared" si="2"/>
        <v>#REF!</v>
      </c>
      <c r="R13" s="444" t="e">
        <f t="shared" si="3"/>
        <v>#REF!</v>
      </c>
      <c r="S13" s="445" t="e">
        <f>IF($D13&lt;=IF($B$2="mil",1,0.0254)*50,"Pass",IF($B$2="mil",1,0.0254)*50-$D13)</f>
        <v>#REF!</v>
      </c>
      <c r="T13" s="445" t="e">
        <f>IF($E13&lt;=IF($B$2="mil",1,0.0254)*500,"Pass",IF($B$2="mil",1,0.0254)*500-$E13)</f>
        <v>#REF!</v>
      </c>
      <c r="U13" s="451"/>
      <c r="V13" s="445" t="e">
        <f>IF($H13&lt;=IF($B$2="mil",1,0.0254)*500,"Pass",IF($B$2="mil",1,0.0254)*500-$H13)</f>
        <v>#REF!</v>
      </c>
      <c r="W13" s="445" t="e">
        <f t="shared" si="4"/>
        <v>#REF!</v>
      </c>
      <c r="X13" s="445" t="e">
        <f>IF(MAX(I$13:I$14,I$17:I$18)-MIN(I$13:I$14,I$17:I$18)&lt;=IF($B$2="mil",1,0.0254)*50,"Pass",MAX(I$13:I$14,I$17:I$18)-MIN(I13)-IF($B$2="mil",1,0.0254)*50)</f>
        <v>#REF!</v>
      </c>
      <c r="Y13" s="447" t="e">
        <f t="shared" ca="1" si="5"/>
        <v>#NAME?</v>
      </c>
      <c r="Z13" s="445" t="e">
        <f>IF($K13&lt;=IF($B$2="mil",1,0.0254)*500,"Pass",IF($B$2="mil",1,0.0254)*500-$K13)</f>
        <v>#REF!</v>
      </c>
      <c r="AA13" s="445" t="e">
        <f ca="1">CheckLength2(IF($B$2="mil",1,0.0254)*750,K13,L13,0)</f>
        <v>#NAME?</v>
      </c>
      <c r="AB13" s="445" t="e">
        <f t="shared" si="6"/>
        <v>#REF!</v>
      </c>
      <c r="AC13" s="447" t="e">
        <f t="shared" si="7"/>
        <v>#REF!</v>
      </c>
      <c r="AD13" s="447" t="e">
        <f t="shared" si="8"/>
        <v>#REF!</v>
      </c>
      <c r="AE13" s="452"/>
      <c r="AF13" s="331"/>
      <c r="AG13" s="449" t="e">
        <f>IF((ABS($O13-$O14)&lt;=IF($B$2="mil",1,0.0254)*5),"Pass",ABS($O13-$O14))</f>
        <v>#REF!</v>
      </c>
      <c r="AH13" s="453"/>
      <c r="AI13" s="2" t="e">
        <f ca="1">IF(AND(S13="Pass",T13="Pass",W13="Pass",V13="Pass",X13="Pass",Y13="Pass",Z13="Pass",AA13="Pass",AC13="Pass",AD13="Pass",AG13="Pass",Q13="Pass",R13="Pass"),"Pass","Fail")</f>
        <v>#REF!</v>
      </c>
    </row>
    <row r="14" spans="1:37" s="2" customFormat="1" x14ac:dyDescent="0.2">
      <c r="A14" s="560" t="s">
        <v>312</v>
      </c>
      <c r="B14" s="561" t="s">
        <v>464</v>
      </c>
      <c r="C14" s="562">
        <v>1036.1417322834648</v>
      </c>
      <c r="D14" s="17">
        <v>22.63</v>
      </c>
      <c r="E14" s="17">
        <v>0</v>
      </c>
      <c r="F14" s="270">
        <v>3171.28</v>
      </c>
      <c r="G14" s="270">
        <v>0</v>
      </c>
      <c r="H14" s="270">
        <v>330.11</v>
      </c>
      <c r="I14" s="270">
        <v>0</v>
      </c>
      <c r="J14" s="270">
        <v>136.97</v>
      </c>
      <c r="K14" s="271">
        <v>389.88</v>
      </c>
      <c r="L14" s="271">
        <v>45.18</v>
      </c>
      <c r="M14" s="270">
        <v>31.04</v>
      </c>
      <c r="N14" s="441">
        <f t="shared" si="1"/>
        <v>3660.9900000000002</v>
      </c>
      <c r="O14" s="441" t="e">
        <f t="shared" si="0"/>
        <v>#REF!</v>
      </c>
      <c r="P14" s="442">
        <f>$E$29</f>
        <v>4690</v>
      </c>
      <c r="Q14" s="443" t="e">
        <f t="shared" si="2"/>
        <v>#REF!</v>
      </c>
      <c r="R14" s="444" t="e">
        <f t="shared" si="3"/>
        <v>#REF!</v>
      </c>
      <c r="S14" s="445" t="e">
        <f>IF($D14&lt;=IF($B$2="mil",1,0.0254)*50,"Pass",IF($B$2="mil",1,0.0254)*50-$D14)</f>
        <v>#REF!</v>
      </c>
      <c r="T14" s="445" t="e">
        <f>IF($E14&lt;=IF($B$2="mil",1,0.0254)*500,"Pass",IF($B$2="mil",1,0.0254)*500-$E14)</f>
        <v>#REF!</v>
      </c>
      <c r="U14" s="451"/>
      <c r="V14" s="445" t="e">
        <f>IF($H14&lt;=IF($B$2="mil",1,0.0254)*500,"Pass",IF($B$2="mil",1,0.0254)*500-$H14)</f>
        <v>#REF!</v>
      </c>
      <c r="W14" s="445" t="e">
        <f t="shared" si="4"/>
        <v>#REF!</v>
      </c>
      <c r="X14" s="445" t="e">
        <f>IF(MAX(I$13:I$14,I$17:I$18)-MIN(I$13:I$14,I$17:I$18)&lt;=IF($B$2="mil",1,0.0254)*50,"Pass",MAX(I$13:I$14,I$17:I$18)-MIN(I14)-IF($B$2="mil",1,0.0254)*50)</f>
        <v>#REF!</v>
      </c>
      <c r="Y14" s="447" t="e">
        <f t="shared" ca="1" si="5"/>
        <v>#NAME?</v>
      </c>
      <c r="Z14" s="445" t="e">
        <f>IF($K14&lt;=IF($B$2="mil",1,0.0254)*500,"Pass",IF($B$2="mil",1,0.0254)*500-$K14)</f>
        <v>#REF!</v>
      </c>
      <c r="AA14" s="445" t="e">
        <f ca="1">CheckLength2(IF($B$2="mil",1,0.0254)*750,K14,L14,0)</f>
        <v>#NAME?</v>
      </c>
      <c r="AB14" s="445" t="e">
        <f t="shared" si="6"/>
        <v>#REF!</v>
      </c>
      <c r="AC14" s="447" t="e">
        <f t="shared" si="7"/>
        <v>#REF!</v>
      </c>
      <c r="AD14" s="447" t="e">
        <f t="shared" si="8"/>
        <v>#REF!</v>
      </c>
      <c r="AE14" s="452"/>
      <c r="AF14" s="331"/>
      <c r="AG14" s="449" t="e">
        <f>IF((ABS($O14-$O13)&lt;=IF($B$2="mil",1,0.0254)*5),"Pass",ABS($O14-$O13))</f>
        <v>#REF!</v>
      </c>
      <c r="AH14" s="453"/>
      <c r="AI14" s="2" t="e">
        <f ca="1">IF(AND(S14="Pass",T14="Pass",W14="Pass",V14="Pass",X14="Pass",Y14="Pass",Z14="Pass",AA14="Pass",AC14="Pass",AD14="Pass",AG14="Pass",Q14="Pass",R14="Pass"),"Pass","Fail")</f>
        <v>#REF!</v>
      </c>
    </row>
    <row r="15" spans="1:37" s="2" customFormat="1" ht="13.5" customHeight="1" x14ac:dyDescent="0.2">
      <c r="A15" s="560" t="s">
        <v>315</v>
      </c>
      <c r="B15" s="561" t="s">
        <v>162</v>
      </c>
      <c r="C15" s="562">
        <v>1036.1417322834648</v>
      </c>
      <c r="D15" s="441">
        <f>D$13</f>
        <v>22.63</v>
      </c>
      <c r="E15" s="441">
        <f t="shared" ref="E15:G19" si="11">E$13</f>
        <v>0</v>
      </c>
      <c r="F15" s="441">
        <f t="shared" si="11"/>
        <v>3136.79</v>
      </c>
      <c r="G15" s="441">
        <f t="shared" si="11"/>
        <v>0</v>
      </c>
      <c r="H15" s="441">
        <f>H$13</f>
        <v>310.72000000000003</v>
      </c>
      <c r="I15" s="270">
        <v>0</v>
      </c>
      <c r="J15" s="270">
        <v>202.5</v>
      </c>
      <c r="K15" s="441">
        <f>K$13</f>
        <v>495.59</v>
      </c>
      <c r="L15" s="441">
        <f>L$13</f>
        <v>43.11</v>
      </c>
      <c r="M15" s="270">
        <v>31.04</v>
      </c>
      <c r="N15" s="441">
        <f t="shared" ref="N15:N20" si="12" xml:space="preserve"> SUM(D15:F15,H15,I15:J15)</f>
        <v>3672.6400000000003</v>
      </c>
      <c r="O15" s="441" t="e">
        <f t="shared" ref="O15:O20" si="13">IF($B$2="mil",1,0.0254)*C15+N15</f>
        <v>#REF!</v>
      </c>
      <c r="P15" s="442">
        <f>$E$33</f>
        <v>4700</v>
      </c>
      <c r="Q15" s="443" t="e">
        <f t="shared" si="2"/>
        <v>#REF!</v>
      </c>
      <c r="R15" s="444" t="e">
        <f t="shared" si="3"/>
        <v>#REF!</v>
      </c>
      <c r="S15" s="114"/>
      <c r="T15" s="115"/>
      <c r="U15" s="451"/>
      <c r="V15" s="451"/>
      <c r="W15" s="445" t="e">
        <f t="shared" si="4"/>
        <v>#REF!</v>
      </c>
      <c r="X15" s="445" t="e">
        <f>IF(MAX(I$15:I$16,I$19:I$20)-MIN(I$15:I$16,I$19:I$20)&lt;=IF($B$2="mil",1,0.0254)*50,"Pass",MAX(I$15:I$16,I$19:I$20)-MIN(I15)-IF($B$2="mil",1,0.0254)*50)</f>
        <v>#REF!</v>
      </c>
      <c r="Y15" s="447" t="e">
        <f t="shared" ca="1" si="5"/>
        <v>#NAME?</v>
      </c>
      <c r="Z15" s="451"/>
      <c r="AA15" s="451"/>
      <c r="AB15" s="445" t="e">
        <f t="shared" si="6"/>
        <v>#REF!</v>
      </c>
      <c r="AC15" s="447" t="e">
        <f t="shared" si="7"/>
        <v>#REF!</v>
      </c>
      <c r="AD15" s="447" t="e">
        <f t="shared" si="8"/>
        <v>#REF!</v>
      </c>
      <c r="AE15" s="452"/>
      <c r="AF15" s="331"/>
      <c r="AG15" s="449" t="e">
        <f>IF((ABS($O15-$O16)&lt;=IF($B$2="mil",1,0.0254)*5),"Pass",ABS($O15-$O16))</f>
        <v>#REF!</v>
      </c>
      <c r="AH15" s="453"/>
      <c r="AI15" s="2" t="e">
        <f ca="1">IF(AND(W15="Pass",X15="Pass",Y15="Pass",AC15="Pass",AD15="Pass",AG15="Pass",Q15="Pass",R15="Pass"),"Pass","Fail")</f>
        <v>#REF!</v>
      </c>
    </row>
    <row r="16" spans="1:37" s="2" customFormat="1" x14ac:dyDescent="0.2">
      <c r="A16" s="560" t="s">
        <v>316</v>
      </c>
      <c r="B16" s="561" t="s">
        <v>464</v>
      </c>
      <c r="C16" s="562">
        <v>1036.1417322834648</v>
      </c>
      <c r="D16" s="441">
        <f>D$14</f>
        <v>22.63</v>
      </c>
      <c r="E16" s="441">
        <f t="shared" ref="E16:G20" si="14">E$14</f>
        <v>0</v>
      </c>
      <c r="F16" s="441">
        <f t="shared" si="14"/>
        <v>3171.28</v>
      </c>
      <c r="G16" s="441">
        <f t="shared" si="14"/>
        <v>0</v>
      </c>
      <c r="H16" s="441">
        <f>H$14</f>
        <v>330.11</v>
      </c>
      <c r="I16" s="270">
        <v>0</v>
      </c>
      <c r="J16" s="270">
        <v>147.61000000000001</v>
      </c>
      <c r="K16" s="441">
        <f>K$14</f>
        <v>389.88</v>
      </c>
      <c r="L16" s="441">
        <f>L$14</f>
        <v>45.18</v>
      </c>
      <c r="M16" s="270">
        <v>31.04</v>
      </c>
      <c r="N16" s="441">
        <f t="shared" si="12"/>
        <v>3671.6300000000006</v>
      </c>
      <c r="O16" s="441" t="e">
        <f t="shared" si="13"/>
        <v>#REF!</v>
      </c>
      <c r="P16" s="442">
        <f>$E$33</f>
        <v>4700</v>
      </c>
      <c r="Q16" s="443" t="e">
        <f t="shared" si="2"/>
        <v>#REF!</v>
      </c>
      <c r="R16" s="444" t="e">
        <f t="shared" si="3"/>
        <v>#REF!</v>
      </c>
      <c r="S16" s="116"/>
      <c r="T16" s="117"/>
      <c r="U16" s="451"/>
      <c r="V16" s="451"/>
      <c r="W16" s="445" t="e">
        <f t="shared" si="4"/>
        <v>#REF!</v>
      </c>
      <c r="X16" s="445" t="e">
        <f>IF(MAX(I$15:I$16,I$19:I$20)-MIN(I$15:I$16,I$19:I$20)&lt;=IF($B$2="mil",1,0.0254)*50,"Pass",MAX(I$15:I$16,I$19:I$20)-MIN(I16)-IF($B$2="mil",1,0.0254)*50)</f>
        <v>#REF!</v>
      </c>
      <c r="Y16" s="447" t="e">
        <f t="shared" ca="1" si="5"/>
        <v>#NAME?</v>
      </c>
      <c r="Z16" s="451"/>
      <c r="AA16" s="451"/>
      <c r="AB16" s="445" t="e">
        <f t="shared" si="6"/>
        <v>#REF!</v>
      </c>
      <c r="AC16" s="447" t="e">
        <f t="shared" si="7"/>
        <v>#REF!</v>
      </c>
      <c r="AD16" s="447" t="e">
        <f t="shared" si="8"/>
        <v>#REF!</v>
      </c>
      <c r="AE16" s="452"/>
      <c r="AF16" s="331"/>
      <c r="AG16" s="449" t="e">
        <f>IF((ABS($O16-$O15)&lt;=IF($B$2="mil",1,0.0254)*5),"Pass",ABS($O16-$O15))</f>
        <v>#REF!</v>
      </c>
      <c r="AH16" s="453"/>
      <c r="AI16" s="2" t="e">
        <f ca="1">IF(AND(W16="Pass",X16="Pass",Y16="Pass",AC16="Pass",AD16="Pass",AG16="Pass",Q16="Pass",R16="Pass"),"Pass","Fail")</f>
        <v>#REF!</v>
      </c>
    </row>
    <row r="17" spans="1:36" s="2" customFormat="1" x14ac:dyDescent="0.2">
      <c r="A17" s="560" t="s">
        <v>313</v>
      </c>
      <c r="B17" s="561" t="s">
        <v>162</v>
      </c>
      <c r="C17" s="562">
        <v>1036.1417322834648</v>
      </c>
      <c r="D17" s="441">
        <f>D$13</f>
        <v>22.63</v>
      </c>
      <c r="E17" s="441">
        <f t="shared" si="11"/>
        <v>0</v>
      </c>
      <c r="F17" s="441">
        <f t="shared" si="11"/>
        <v>3136.79</v>
      </c>
      <c r="G17" s="441">
        <f t="shared" si="11"/>
        <v>0</v>
      </c>
      <c r="H17" s="270">
        <v>430.29</v>
      </c>
      <c r="I17" s="270">
        <v>0</v>
      </c>
      <c r="J17" s="270">
        <v>197.65</v>
      </c>
      <c r="K17" s="271">
        <v>308.85000000000002</v>
      </c>
      <c r="L17" s="271">
        <v>35.04</v>
      </c>
      <c r="M17" s="270">
        <v>31.04</v>
      </c>
      <c r="N17" s="441">
        <f xml:space="preserve"> SUM(D17:F17,H17,I17:J17)</f>
        <v>3787.36</v>
      </c>
      <c r="O17" s="441" t="e">
        <f>IF($B$2="mil",1,0.0254)*C17+N17</f>
        <v>#REF!</v>
      </c>
      <c r="P17" s="442">
        <f>$E$30</f>
        <v>4816</v>
      </c>
      <c r="Q17" s="443" t="e">
        <f>IF($P17-$O17&lt;IF($B$2="mil",1,0.0254)*10,"Pass",$P17-$O17-IF($B$2="mil",1,0.0254)*10)</f>
        <v>#REF!</v>
      </c>
      <c r="R17" s="444" t="e">
        <f t="shared" si="3"/>
        <v>#REF!</v>
      </c>
      <c r="S17" s="116"/>
      <c r="T17" s="117"/>
      <c r="U17" s="451"/>
      <c r="V17" s="445" t="e">
        <f>IF($H17&lt;=IF($B$2="mil",1,0.0254)*500,"Pass",IF($B$2="mil",1,0.0254)*500-$H17)</f>
        <v>#REF!</v>
      </c>
      <c r="W17" s="445" t="e">
        <f t="shared" si="4"/>
        <v>#REF!</v>
      </c>
      <c r="X17" s="445" t="e">
        <f>IF(MAX(I$13:I$14,I$17:I$18)-MIN(I$13:I$14,I$17:I$18)&lt;=IF($B$2="mil",1,0.0254)*50,"Pass",MAX(I$13:I$14,I$17:I$18)-MIN(I17)-IF($B$2="mil",1,0.0254)*50)</f>
        <v>#REF!</v>
      </c>
      <c r="Y17" s="447" t="e">
        <f t="shared" ca="1" si="5"/>
        <v>#NAME?</v>
      </c>
      <c r="Z17" s="445" t="e">
        <f>IF($K17&lt;=IF($B$2="mil",1,0.0254)*500,"Pass",IF($B$2="mil",1,0.0254)*500-$K17)</f>
        <v>#REF!</v>
      </c>
      <c r="AA17" s="445" t="e">
        <f ca="1">CheckLength2(IF($B$2="mil",1,0.0254)*750,K17,L17,0)</f>
        <v>#NAME?</v>
      </c>
      <c r="AB17" s="445" t="e">
        <f t="shared" si="6"/>
        <v>#REF!</v>
      </c>
      <c r="AC17" s="447" t="e">
        <f t="shared" si="7"/>
        <v>#REF!</v>
      </c>
      <c r="AD17" s="447" t="e">
        <f t="shared" si="8"/>
        <v>#REF!</v>
      </c>
      <c r="AE17" s="452"/>
      <c r="AF17" s="331"/>
      <c r="AG17" s="449" t="e">
        <f>IF((ABS($O17-$O18)&lt;=IF($B$2="mil",1,0.0254)*5),"Pass",ABS($O17-$O18))</f>
        <v>#REF!</v>
      </c>
      <c r="AH17" s="453"/>
      <c r="AI17" s="2" t="e">
        <f ca="1">IF(AND(W17="Pass",V17="Pass",X17="Pass",Y17="Pass",Z17="Pass",AA17="Pass",AC17="Pass",AD17="Pass",AG17="Pass",Q17="Pass",R17="Pass"),"Pass","Fail")</f>
        <v>#REF!</v>
      </c>
    </row>
    <row r="18" spans="1:36" s="2" customFormat="1" x14ac:dyDescent="0.2">
      <c r="A18" s="560" t="s">
        <v>314</v>
      </c>
      <c r="B18" s="561" t="s">
        <v>464</v>
      </c>
      <c r="C18" s="562">
        <v>1036.1417322834648</v>
      </c>
      <c r="D18" s="441">
        <f>D$14</f>
        <v>22.63</v>
      </c>
      <c r="E18" s="441">
        <f t="shared" si="14"/>
        <v>0</v>
      </c>
      <c r="F18" s="441">
        <f t="shared" si="14"/>
        <v>3171.28</v>
      </c>
      <c r="G18" s="441">
        <f t="shared" si="14"/>
        <v>0</v>
      </c>
      <c r="H18" s="270">
        <v>462.48</v>
      </c>
      <c r="I18" s="270">
        <v>0</v>
      </c>
      <c r="J18" s="270">
        <v>132.57</v>
      </c>
      <c r="K18" s="271">
        <v>266.01</v>
      </c>
      <c r="L18" s="271">
        <v>34.21</v>
      </c>
      <c r="M18" s="270">
        <v>31.04</v>
      </c>
      <c r="N18" s="441">
        <f t="shared" si="12"/>
        <v>3788.9600000000005</v>
      </c>
      <c r="O18" s="441" t="e">
        <f t="shared" si="13"/>
        <v>#REF!</v>
      </c>
      <c r="P18" s="442">
        <f>$E$30</f>
        <v>4816</v>
      </c>
      <c r="Q18" s="443" t="e">
        <f t="shared" si="2"/>
        <v>#REF!</v>
      </c>
      <c r="R18" s="444" t="e">
        <f t="shared" si="3"/>
        <v>#REF!</v>
      </c>
      <c r="S18" s="116"/>
      <c r="T18" s="117"/>
      <c r="U18" s="451"/>
      <c r="V18" s="445" t="e">
        <f>IF($H18&lt;=IF($B$2="mil",1,0.0254)*500,"Pass",IF($B$2="mil",1,0.0254)*500-$H18)</f>
        <v>#REF!</v>
      </c>
      <c r="W18" s="445" t="e">
        <f t="shared" si="4"/>
        <v>#REF!</v>
      </c>
      <c r="X18" s="445" t="e">
        <f>IF(MAX(I$13:I$14,I$17:I$18)-MIN(I$13:I$14,I$17:I$18)&lt;=IF($B$2="mil",1,0.0254)*50,"Pass",MAX(I$13:I$14,I$17:I$18)-MIN(I18)-IF($B$2="mil",1,0.0254)*50)</f>
        <v>#REF!</v>
      </c>
      <c r="Y18" s="447" t="e">
        <f t="shared" ca="1" si="5"/>
        <v>#NAME?</v>
      </c>
      <c r="Z18" s="445" t="e">
        <f>IF($K18&lt;=IF($B$2="mil",1,0.0254)*500,"Pass",IF($B$2="mil",1,0.0254)*500-$K18)</f>
        <v>#REF!</v>
      </c>
      <c r="AA18" s="445" t="e">
        <f ca="1">CheckLength2(IF($B$2="mil",1,0.0254)*750,K18,L18,0)</f>
        <v>#NAME?</v>
      </c>
      <c r="AB18" s="445" t="e">
        <f t="shared" si="6"/>
        <v>#REF!</v>
      </c>
      <c r="AC18" s="447" t="e">
        <f t="shared" si="7"/>
        <v>#REF!</v>
      </c>
      <c r="AD18" s="447" t="e">
        <f t="shared" si="8"/>
        <v>#REF!</v>
      </c>
      <c r="AE18" s="452"/>
      <c r="AF18" s="331"/>
      <c r="AG18" s="449" t="e">
        <f>IF((ABS($O18-$O17)&lt;=IF($B$2="mil",1,0.0254)*5),"Pass",ABS($O18-$O17))</f>
        <v>#REF!</v>
      </c>
      <c r="AH18" s="453"/>
      <c r="AI18" s="2" t="e">
        <f ca="1">IF(AND(W18="Pass",V18="Pass",X18="Pass",Y18="Pass",Z18="Pass",AA18="Pass",AC18="Pass",AD18="Pass",AG18="Pass",Q18="Pass",R18="Pass"),"Pass","Fail")</f>
        <v>#REF!</v>
      </c>
    </row>
    <row r="19" spans="1:36" s="2" customFormat="1" x14ac:dyDescent="0.2">
      <c r="A19" s="560" t="s">
        <v>317</v>
      </c>
      <c r="B19" s="561" t="s">
        <v>162</v>
      </c>
      <c r="C19" s="562">
        <v>1036.1417322834648</v>
      </c>
      <c r="D19" s="441">
        <f>D$13</f>
        <v>22.63</v>
      </c>
      <c r="E19" s="441">
        <f t="shared" si="11"/>
        <v>0</v>
      </c>
      <c r="F19" s="441">
        <f t="shared" si="11"/>
        <v>3136.79</v>
      </c>
      <c r="G19" s="441">
        <f t="shared" si="11"/>
        <v>0</v>
      </c>
      <c r="H19" s="441">
        <f>H$17</f>
        <v>430.29</v>
      </c>
      <c r="I19" s="270">
        <v>0</v>
      </c>
      <c r="J19" s="270">
        <v>175.23</v>
      </c>
      <c r="K19" s="441">
        <f>K$17</f>
        <v>308.85000000000002</v>
      </c>
      <c r="L19" s="441">
        <f>L$17</f>
        <v>35.04</v>
      </c>
      <c r="M19" s="270">
        <v>31.04</v>
      </c>
      <c r="N19" s="441">
        <f t="shared" si="12"/>
        <v>3764.94</v>
      </c>
      <c r="O19" s="441" t="e">
        <f t="shared" si="13"/>
        <v>#REF!</v>
      </c>
      <c r="P19" s="442">
        <f>$E$34</f>
        <v>4800</v>
      </c>
      <c r="Q19" s="443" t="e">
        <f t="shared" si="2"/>
        <v>#REF!</v>
      </c>
      <c r="R19" s="444" t="e">
        <f t="shared" si="3"/>
        <v>#REF!</v>
      </c>
      <c r="S19" s="116"/>
      <c r="T19" s="117"/>
      <c r="U19" s="451"/>
      <c r="V19" s="451"/>
      <c r="W19" s="445" t="e">
        <f t="shared" si="4"/>
        <v>#REF!</v>
      </c>
      <c r="X19" s="445" t="e">
        <f>IF(MAX(I$15:I$16,I$19:I$20)-MIN(I$15:I$16,I$19:I$20)&lt;=IF($B$2="mil",1,0.0254)*50,"Pass",MAX(I$15:I$16,I$19:I$20)-MIN(I19)-IF($B$2="mil",1,0.0254)*50)</f>
        <v>#REF!</v>
      </c>
      <c r="Y19" s="447" t="e">
        <f t="shared" ca="1" si="5"/>
        <v>#NAME?</v>
      </c>
      <c r="Z19" s="451"/>
      <c r="AA19" s="451"/>
      <c r="AB19" s="445" t="e">
        <f t="shared" si="6"/>
        <v>#REF!</v>
      </c>
      <c r="AC19" s="447" t="e">
        <f t="shared" si="7"/>
        <v>#REF!</v>
      </c>
      <c r="AD19" s="447" t="e">
        <f t="shared" si="8"/>
        <v>#REF!</v>
      </c>
      <c r="AE19" s="452"/>
      <c r="AF19" s="331"/>
      <c r="AG19" s="449" t="e">
        <f>IF((ABS($O19-$O20)&lt;=IF($B$2="mil",1,0.0254)*5),"Pass",ABS($O19-$O20))</f>
        <v>#REF!</v>
      </c>
      <c r="AH19" s="453"/>
      <c r="AI19" s="2" t="e">
        <f ca="1">IF(AND(W19="Pass",X19="Pass",Y19="Pass",AC19="Pass",AD19="Pass",AG19="Pass",Q19="Pass",R19="Pass"),"Pass","Fail")</f>
        <v>#REF!</v>
      </c>
    </row>
    <row r="20" spans="1:36" s="2" customFormat="1" x14ac:dyDescent="0.2">
      <c r="A20" s="560" t="s">
        <v>318</v>
      </c>
      <c r="B20" s="561" t="s">
        <v>464</v>
      </c>
      <c r="C20" s="562">
        <v>1036.1417322834648</v>
      </c>
      <c r="D20" s="441">
        <f>D$14</f>
        <v>22.63</v>
      </c>
      <c r="E20" s="441">
        <f t="shared" si="14"/>
        <v>0</v>
      </c>
      <c r="F20" s="441">
        <f t="shared" si="14"/>
        <v>3171.28</v>
      </c>
      <c r="G20" s="441">
        <f t="shared" si="14"/>
        <v>0</v>
      </c>
      <c r="H20" s="441">
        <f>H$18</f>
        <v>462.48</v>
      </c>
      <c r="I20" s="270">
        <v>0</v>
      </c>
      <c r="J20" s="270">
        <v>112.78</v>
      </c>
      <c r="K20" s="441">
        <f>K$18</f>
        <v>266.01</v>
      </c>
      <c r="L20" s="441">
        <f>L$18</f>
        <v>34.21</v>
      </c>
      <c r="M20" s="270">
        <v>31.04</v>
      </c>
      <c r="N20" s="441">
        <f t="shared" si="12"/>
        <v>3769.1700000000005</v>
      </c>
      <c r="O20" s="441" t="e">
        <f t="shared" si="13"/>
        <v>#REF!</v>
      </c>
      <c r="P20" s="442">
        <f>$E$34</f>
        <v>4800</v>
      </c>
      <c r="Q20" s="443" t="e">
        <f t="shared" si="2"/>
        <v>#REF!</v>
      </c>
      <c r="R20" s="444" t="e">
        <f t="shared" si="3"/>
        <v>#REF!</v>
      </c>
      <c r="S20" s="118"/>
      <c r="T20" s="119"/>
      <c r="U20" s="454"/>
      <c r="V20" s="451"/>
      <c r="W20" s="445" t="e">
        <f t="shared" si="4"/>
        <v>#REF!</v>
      </c>
      <c r="X20" s="445" t="e">
        <f>IF(MAX(I$15:I$16,I$19:I$20)-MIN(I$15:I$16,I$19:I$20)&lt;=IF($B$2="mil",1,0.0254)*50,"Pass",MAX(I$15:I$16,I$19:I$20)-MIN(I20)-IF($B$2="mil",1,0.0254)*50)</f>
        <v>#REF!</v>
      </c>
      <c r="Y20" s="447" t="e">
        <f t="shared" ca="1" si="5"/>
        <v>#NAME?</v>
      </c>
      <c r="Z20" s="451"/>
      <c r="AA20" s="451"/>
      <c r="AB20" s="445" t="e">
        <f t="shared" si="6"/>
        <v>#REF!</v>
      </c>
      <c r="AC20" s="447" t="e">
        <f t="shared" si="7"/>
        <v>#REF!</v>
      </c>
      <c r="AD20" s="447" t="e">
        <f t="shared" si="8"/>
        <v>#REF!</v>
      </c>
      <c r="AE20" s="455"/>
      <c r="AF20" s="242"/>
      <c r="AG20" s="449" t="e">
        <f>IF((ABS($O20-$O19)&lt;=IF($B$2="mil",1,0.0254)*5),"Pass",ABS($O20-$O19))</f>
        <v>#REF!</v>
      </c>
      <c r="AH20" s="456"/>
      <c r="AI20" s="2" t="e">
        <f ca="1">IF(AND(W20="Pass",X20="Pass",Y20="Pass",AC20="Pass",AD20="Pass",AG20="Pass",Q20="Pass",R20="Pass"),"Pass","Fail")</f>
        <v>#REF!</v>
      </c>
    </row>
    <row r="21" spans="1:36" s="2" customFormat="1" x14ac:dyDescent="0.2">
      <c r="A21" s="563" t="s">
        <v>254</v>
      </c>
      <c r="B21" s="564"/>
      <c r="C21" s="565"/>
      <c r="D21" s="87" t="e">
        <f>"Escape
Length L0 [" &amp; B2
&amp;"]"</f>
        <v>#REF!</v>
      </c>
      <c r="E21" s="87" t="e">
        <f>"Breakout
Length L1
[" &amp;B2&amp;"]"</f>
        <v>#REF!</v>
      </c>
      <c r="F21" s="87" t="e">
        <f>"Main
Length L2
[" &amp;B2 &amp;"]"</f>
        <v>#REF!</v>
      </c>
      <c r="G21" s="87" t="e">
        <f>"Breakin
Length S1
[" &amp;B2 &amp;"]"</f>
        <v>#REF!</v>
      </c>
      <c r="H21" s="11"/>
      <c r="I21" s="11"/>
      <c r="J21" s="11"/>
      <c r="K21" s="11"/>
      <c r="L21" s="11"/>
      <c r="M21" s="11"/>
      <c r="N21" s="11"/>
      <c r="O21" s="11"/>
      <c r="P21" s="8"/>
      <c r="Q21" s="8"/>
      <c r="R21" s="14"/>
      <c r="S21" s="5" t="e">
        <f>"L1 Length Test
(&lt;="&amp; IF(B2="mil",1,0.0254)*500 &amp;B2 &amp;")"</f>
        <v>#REF!</v>
      </c>
      <c r="T21" s="5" t="e">
        <f>"L2 Length Test  (&lt;="&amp;IF($B$2="mil",1,0.0254)*2550&amp;$B$2&amp;")"</f>
        <v>#REF!</v>
      </c>
      <c r="U21" s="5" t="e">
        <f>"S1 Length Test
(&lt;="&amp;IF($B$2="mil",1,0.0254)*200&amp;$B$2&amp;")"</f>
        <v>#REF!</v>
      </c>
      <c r="V21" s="457"/>
      <c r="W21" s="458"/>
      <c r="X21" s="458"/>
      <c r="Y21" s="8"/>
      <c r="Z21" s="11"/>
      <c r="AA21" s="11"/>
      <c r="AB21" s="11"/>
      <c r="AC21" s="11"/>
      <c r="AD21" s="11"/>
      <c r="AE21" s="11"/>
      <c r="AF21" s="11"/>
      <c r="AG21" s="11"/>
      <c r="AH21" s="459"/>
    </row>
    <row r="22" spans="1:36" s="2" customFormat="1" x14ac:dyDescent="0.2">
      <c r="A22" s="560" t="s">
        <v>459</v>
      </c>
      <c r="B22" s="561" t="s">
        <v>462</v>
      </c>
      <c r="C22" s="562">
        <v>863.93700787401576</v>
      </c>
      <c r="D22" s="17">
        <v>22.63</v>
      </c>
      <c r="E22" s="17">
        <v>0</v>
      </c>
      <c r="F22" s="270">
        <v>1600.08</v>
      </c>
      <c r="G22" s="270">
        <v>86.81</v>
      </c>
      <c r="H22" s="114"/>
      <c r="I22" s="29"/>
      <c r="J22" s="29"/>
      <c r="K22" s="29"/>
      <c r="L22" s="29"/>
      <c r="M22" s="29"/>
      <c r="N22" s="441">
        <f xml:space="preserve"> D22+E22+F22+G22</f>
        <v>1709.52</v>
      </c>
      <c r="O22" s="441" t="e">
        <f>N22+IF($B$2="mil",1,0.0254)*C22</f>
        <v>#REF!</v>
      </c>
      <c r="P22" s="442">
        <f>$D$35</f>
        <v>2575</v>
      </c>
      <c r="Q22" s="443" t="e">
        <f>IF($P22-$O22&lt;IF($B$2="mil",1,0.0254)*10,"Pass",$P22-$O22-IF($B$2="mil",1,0.0254)*10)</f>
        <v>#REF!</v>
      </c>
      <c r="R22" s="444" t="e">
        <f>IF($O22-$P22&lt;IF($B$2="mil",1,0.0254)*10,"Pass",$O22-$P22-IF($B$2="mil",1,0.0254)*10)</f>
        <v>#REF!</v>
      </c>
      <c r="S22" s="445" t="e">
        <f>IF($D22&lt;=IF($B$2="mil",1,0.0254)*500,"Pass",IF($B$2="mil",1,0.0254)*500-$D22)</f>
        <v>#REF!</v>
      </c>
      <c r="T22" s="445" t="e">
        <f>IF($E22&lt;=IF($B$2="mil",1,0.0254)*2550,"Pass",IF($B$2="mil",1,0.0254)*2550-$E22)</f>
        <v>#REF!</v>
      </c>
      <c r="U22" s="445" t="e">
        <f>IF($G22&lt;=IF($B$2="mil",1,0.0254)*200,"Pass",IF($B$2="mil",1,0.0254)*200-$G22)</f>
        <v>#REF!</v>
      </c>
      <c r="V22" s="29"/>
      <c r="W22" s="29"/>
      <c r="X22" s="29"/>
      <c r="Y22" s="29"/>
      <c r="Z22" s="29"/>
      <c r="AA22" s="29"/>
      <c r="AB22" s="29"/>
      <c r="AC22" s="29"/>
      <c r="AD22" s="29"/>
      <c r="AE22" s="447" t="e">
        <f>IF(AND($N22&gt;=IF($B$2="mil",1,0.0254)*500, $N22&lt;=IF($B$2="mil",1,0.0254)*3250),"Pass",IF(($N22&gt;=IF($B$2="mil",1,0.0254)*500), IF($B$2="mil",1,0.0254)*3250-$N22, IF($B$2="mil",1,0.0254)*500-$N22))</f>
        <v>#REF!</v>
      </c>
      <c r="AF22" s="447" t="e">
        <f>IF($O22&lt;=IF( $B$2="mil",1,0.0254)*4000,"Pass", IF($B$2="mil",1,0.0254)*4000-$O22)</f>
        <v>#REF!</v>
      </c>
      <c r="AG22" s="447" t="e">
        <f>IF((ABS(O22-O23)&lt;=IF($B$2="mil",1,0.0254)*5),"Pass",ABS(O22-O23))</f>
        <v>#REF!</v>
      </c>
      <c r="AH22" s="447" t="e">
        <f>IF(MAX($O22:$O25)-O22&gt;IF($B$2="mil",1,0.0254)*20, MAX($O22:$O25)-$O22,"Pass")</f>
        <v>#REF!</v>
      </c>
      <c r="AI22" s="2" t="e">
        <f>IF(AND(Q22="Pass",R22="Pass",U22="Pass",AE22="Pass",AF22="Pass",AG22="Pass",AH22="Pass",S22="Pass",T22="Pass"),"Pass","Fail")</f>
        <v>#REF!</v>
      </c>
      <c r="AJ22" s="2" t="e">
        <f>IF(AND(AI22="Pass",AI23="Pass",AI24="Pass",AI25="Pass"),"Pass","Fail")</f>
        <v>#REF!</v>
      </c>
    </row>
    <row r="23" spans="1:36" s="2" customFormat="1" x14ac:dyDescent="0.2">
      <c r="A23" s="560" t="s">
        <v>460</v>
      </c>
      <c r="B23" s="561" t="s">
        <v>465</v>
      </c>
      <c r="C23" s="562">
        <v>863.97637795275591</v>
      </c>
      <c r="D23" s="17">
        <v>22.63</v>
      </c>
      <c r="E23" s="17">
        <v>0</v>
      </c>
      <c r="F23" s="270">
        <v>1597.68</v>
      </c>
      <c r="G23" s="270">
        <v>87.64</v>
      </c>
      <c r="H23" s="116"/>
      <c r="I23" s="47"/>
      <c r="J23" s="47"/>
      <c r="K23" s="47"/>
      <c r="L23" s="47"/>
      <c r="M23" s="47"/>
      <c r="N23" s="441">
        <f xml:space="preserve"> D23+E23+F23+G23</f>
        <v>1707.9500000000003</v>
      </c>
      <c r="O23" s="441" t="e">
        <f>N23+IF($B$2="mil",1,0.0254)*C23</f>
        <v>#REF!</v>
      </c>
      <c r="P23" s="442">
        <f>$D$35</f>
        <v>2575</v>
      </c>
      <c r="Q23" s="443" t="e">
        <f>IF($P23-$O23&lt;IF($B$2="mil",1,0.0254)*10,"Pass",$P23-$O23-IF($B$2="mil",1,0.0254)*10)</f>
        <v>#REF!</v>
      </c>
      <c r="R23" s="444" t="e">
        <f>IF($O23-$P23&lt;IF($B$2="mil",1,0.0254)*10,"Pass",$O23-$P23-IF($B$2="mil",1,0.0254)*10)</f>
        <v>#REF!</v>
      </c>
      <c r="S23" s="445" t="e">
        <f>IF($D23&lt;=IF($B$2="mil",1,0.0254)*500,"Pass",IF($B$2="mil",1,0.0254)*500-$D23)</f>
        <v>#REF!</v>
      </c>
      <c r="T23" s="445" t="e">
        <f>IF($E23&lt;=IF($B$2="mil",1,0.0254)*2550,"Pass",IF($B$2="mil",1,0.0254)*2550-$E23)</f>
        <v>#REF!</v>
      </c>
      <c r="U23" s="445" t="e">
        <f>IF($G23&lt;=IF($B$2="mil",1,0.0254)*200,"Pass",IF($B$2="mil",1,0.0254)*200-$G23)</f>
        <v>#REF!</v>
      </c>
      <c r="V23" s="47"/>
      <c r="W23" s="47"/>
      <c r="X23" s="47"/>
      <c r="Y23" s="47"/>
      <c r="Z23" s="47"/>
      <c r="AA23" s="47"/>
      <c r="AB23" s="47"/>
      <c r="AC23" s="47"/>
      <c r="AD23" s="47"/>
      <c r="AE23" s="447" t="e">
        <f>IF(AND($N23&gt;=IF($B$2="mil",1,0.0254)*500, $N23&lt;=IF($B$2="mil",1,0.0254)*3250),"Pass",IF(($N23&gt;=IF($B$2="mil",1,0.0254)*500), IF($B$2="mil",1,0.0254)*3250-$N23, IF($B$2="mil",1,0.0254)*500-$N23))</f>
        <v>#REF!</v>
      </c>
      <c r="AF23" s="447" t="e">
        <f>IF($O23&lt;=IF( $B$2="mil",1,0.0254)*4000,"Pass", IF($B$2="mil",1,0.0254)*4000-$O23)</f>
        <v>#REF!</v>
      </c>
      <c r="AG23" s="447" t="e">
        <f>IF((ABS(O22-O23)&lt;=IF($B$2="mil",1,0.0254)*5),"Pass",ABS(O22-O23))</f>
        <v>#REF!</v>
      </c>
      <c r="AH23" s="447" t="e">
        <f>IF(MAX($O23:$O26)-O23&gt;IF($B$2="mil",1,0.0254)*20, MAX($O23:$O26)-$O23,"Pass")</f>
        <v>#REF!</v>
      </c>
      <c r="AI23" s="2" t="e">
        <f>IF(AND(Q23="Pass",R23="Pass",U23="Pass",AE23="Pass",AF23="Pass",AG23="Pass",AH23="Pass",S23="Pass",T23="Pass"),"Pass","Fail")</f>
        <v>#REF!</v>
      </c>
    </row>
    <row r="24" spans="1:36" s="2" customFormat="1" x14ac:dyDescent="0.2">
      <c r="A24" s="560" t="s">
        <v>63</v>
      </c>
      <c r="B24" s="561" t="s">
        <v>463</v>
      </c>
      <c r="C24" s="562">
        <v>764</v>
      </c>
      <c r="D24" s="17">
        <v>22.63</v>
      </c>
      <c r="E24" s="17">
        <v>0</v>
      </c>
      <c r="F24" s="270">
        <v>1680.57</v>
      </c>
      <c r="G24" s="270">
        <v>100.29</v>
      </c>
      <c r="H24" s="116"/>
      <c r="I24" s="47"/>
      <c r="J24" s="47"/>
      <c r="K24" s="47"/>
      <c r="L24" s="47"/>
      <c r="M24" s="47"/>
      <c r="N24" s="441">
        <f xml:space="preserve"> D24+E24+F24+G24</f>
        <v>1803.49</v>
      </c>
      <c r="O24" s="441" t="e">
        <f>N24+IF($B$2="mil",1,0.0254)*C24</f>
        <v>#REF!</v>
      </c>
      <c r="P24" s="442">
        <f>$D$35</f>
        <v>2575</v>
      </c>
      <c r="Q24" s="443" t="e">
        <f>IF($P24-$O24&lt;IF($B$2="mil",1,0.0254)*10,"Pass",$P24-$O24-IF($B$2="mil",1,0.0254)*10)</f>
        <v>#REF!</v>
      </c>
      <c r="R24" s="444" t="e">
        <f>IF($O24-$P24&lt;IF($B$2="mil",1,0.0254)*10,"Pass",$O24-$P24-IF($B$2="mil",1,0.0254)*10)</f>
        <v>#REF!</v>
      </c>
      <c r="S24" s="445" t="e">
        <f>IF($D24&lt;=IF($B$2="mil",1,0.0254)*500,"Pass",IF($B$2="mil",1,0.0254)*500-$D24)</f>
        <v>#REF!</v>
      </c>
      <c r="T24" s="445" t="e">
        <f>IF($E24&lt;=IF($B$2="mil",1,0.0254)*2550,"Pass",IF($B$2="mil",1,0.0254)*2550-$E24)</f>
        <v>#REF!</v>
      </c>
      <c r="U24" s="445" t="e">
        <f>IF($G24&lt;=IF($B$2="mil",1,0.0254)*200,"Pass",IF($B$2="mil",1,0.0254)*200-$G24)</f>
        <v>#REF!</v>
      </c>
      <c r="V24" s="47"/>
      <c r="W24" s="47"/>
      <c r="X24" s="47"/>
      <c r="Y24" s="47"/>
      <c r="Z24" s="47"/>
      <c r="AA24" s="47"/>
      <c r="AB24" s="47"/>
      <c r="AC24" s="47"/>
      <c r="AD24" s="47"/>
      <c r="AE24" s="447" t="e">
        <f>IF(AND($N24&gt;=IF($B$2="mil",1,0.0254)*500, $N24&lt;=IF($B$2="mil",1,0.0254)*3250),"Pass",IF(($N24&gt;=IF($B$2="mil",1,0.0254)*500), IF($B$2="mil",1,0.0254)*3250-$N24, IF($B$2="mil",1,0.0254)*500-$N24))</f>
        <v>#REF!</v>
      </c>
      <c r="AF24" s="447" t="e">
        <f>IF($O24&lt;=IF( $B$2="mil",1,0.0254)*4000,"Pass", IF($B$2="mil",1,0.0254)*4000-$O24)</f>
        <v>#REF!</v>
      </c>
      <c r="AG24" s="447" t="e">
        <f>IF((ABS(O24-O25)&lt;=IF($B$2="mil",1,0.0254)*5),"Pass",ABS(O24-O25))</f>
        <v>#REF!</v>
      </c>
      <c r="AH24" s="447" t="e">
        <f>IF(MAX($O24:$O27)-O24&gt;IF($B$2="mil",1,0.0254)*20, MAX($O24:$O27)-$O24,"Pass")</f>
        <v>#REF!</v>
      </c>
      <c r="AI24" s="2" t="e">
        <f>IF(AND(Q24="Pass",R24="Pass",U24="Pass",AE24="Pass",AF24="Pass",AG24="Pass",AH24="Pass",S24="Pass",T24="Pass"),"Pass","Fail")</f>
        <v>#REF!</v>
      </c>
    </row>
    <row r="25" spans="1:36" s="2" customFormat="1" x14ac:dyDescent="0.2">
      <c r="A25" s="560" t="s">
        <v>64</v>
      </c>
      <c r="B25" s="561" t="s">
        <v>466</v>
      </c>
      <c r="C25" s="562">
        <v>764</v>
      </c>
      <c r="D25" s="17">
        <v>22.63</v>
      </c>
      <c r="E25" s="17">
        <v>0</v>
      </c>
      <c r="F25" s="270">
        <v>1680.22</v>
      </c>
      <c r="G25" s="270">
        <v>100.79</v>
      </c>
      <c r="H25" s="118"/>
      <c r="I25" s="34"/>
      <c r="J25" s="34"/>
      <c r="K25" s="34"/>
      <c r="L25" s="34"/>
      <c r="M25" s="34"/>
      <c r="N25" s="441">
        <f xml:space="preserve"> D25+E25+F25+G25</f>
        <v>1803.64</v>
      </c>
      <c r="O25" s="441" t="e">
        <f>N25+IF($B$2="mil",1,0.0254)*C25</f>
        <v>#REF!</v>
      </c>
      <c r="P25" s="442">
        <f>$D$35</f>
        <v>2575</v>
      </c>
      <c r="Q25" s="443" t="e">
        <f>IF($P25-$O25&lt;IF($B$2="mil",1,0.0254)*10,"Pass",$P25-$O25-IF($B$2="mil",1,0.0254)*10)</f>
        <v>#REF!</v>
      </c>
      <c r="R25" s="444" t="e">
        <f>IF($O25-$P25&lt;IF($B$2="mil",1,0.0254)*10,"Pass",$O25-$P25-IF($B$2="mil",1,0.0254)*10)</f>
        <v>#REF!</v>
      </c>
      <c r="S25" s="445" t="e">
        <f>IF($D25&lt;=IF($B$2="mil",1,0.0254)*500,"Pass",IF($B$2="mil",1,0.0254)*500-$D25)</f>
        <v>#REF!</v>
      </c>
      <c r="T25" s="445" t="e">
        <f>IF($E25&lt;=IF($B$2="mil",1,0.0254)*2550,"Pass",IF($B$2="mil",1,0.0254)*2550-$E25)</f>
        <v>#REF!</v>
      </c>
      <c r="U25" s="445" t="e">
        <f>IF($G25&lt;=IF($B$2="mil",1,0.0254)*200,"Pass",IF($B$2="mil",1,0.0254)*200-$G25)</f>
        <v>#REF!</v>
      </c>
      <c r="V25" s="34"/>
      <c r="W25" s="34"/>
      <c r="X25" s="34"/>
      <c r="Y25" s="34"/>
      <c r="Z25" s="34"/>
      <c r="AA25" s="34"/>
      <c r="AB25" s="34"/>
      <c r="AC25" s="34"/>
      <c r="AD25" s="34"/>
      <c r="AE25" s="447" t="e">
        <f>IF(AND($N25&gt;=IF($B$2="mil",1,0.0254)*500, $N25&lt;=IF($B$2="mil",1,0.0254)*3250),"Pass",IF(($N25&gt;=IF($B$2="mil",1,0.0254)*500), IF($B$2="mil",1,0.0254)*3250-$N25, IF($B$2="mil",1,0.0254)*500-$N25))</f>
        <v>#REF!</v>
      </c>
      <c r="AF25" s="447" t="e">
        <f>IF($O25&lt;=IF( $B$2="mil",1,0.0254)*4000,"Pass", IF($B$2="mil",1,0.0254)*4000-$O25)</f>
        <v>#REF!</v>
      </c>
      <c r="AG25" s="447" t="e">
        <f>IF((ABS(O24-O25)&lt;=IF($B$2="mil",1,0.0254)*5),"Pass",ABS(O24-O25))</f>
        <v>#REF!</v>
      </c>
      <c r="AH25" s="447" t="e">
        <f>IF(MAX($O25:$O28)-O25&gt;IF($B$2="mil",1,0.0254)*20, MAX($O25:$O28)-$O25,"Pass")</f>
        <v>#REF!</v>
      </c>
      <c r="AI25" s="2" t="e">
        <f>IF(AND(Q25="Pass",R25="Pass",U25="Pass",AE25="Pass",AF25="Pass",AG25="Pass",AH25="Pass",S25="Pass",T25="Pass"),"Pass","Fail")</f>
        <v>#REF!</v>
      </c>
    </row>
    <row r="26" spans="1:36" s="2" customFormat="1" x14ac:dyDescent="0.2">
      <c r="A26" s="96" t="s">
        <v>285</v>
      </c>
      <c r="B26" s="97"/>
      <c r="C26" s="98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460"/>
      <c r="S26" s="23"/>
      <c r="T26" s="23"/>
      <c r="U26" s="23"/>
      <c r="V26" s="23"/>
      <c r="W26" s="23"/>
      <c r="X26" s="23"/>
      <c r="Y26" s="27"/>
      <c r="Z26" s="27"/>
      <c r="AA26" s="27"/>
      <c r="AB26" s="27"/>
      <c r="AC26" s="27"/>
      <c r="AD26" s="27"/>
      <c r="AE26" s="27"/>
      <c r="AF26" s="27"/>
      <c r="AG26" s="27"/>
      <c r="AH26" s="27"/>
    </row>
    <row r="27" spans="1:36" s="2" customFormat="1" x14ac:dyDescent="0.2">
      <c r="A27" s="99" t="s">
        <v>66</v>
      </c>
      <c r="B27" s="100" t="s">
        <v>264</v>
      </c>
      <c r="C27" s="311"/>
      <c r="D27" s="91" t="s">
        <v>293</v>
      </c>
      <c r="E27" s="17">
        <v>4400</v>
      </c>
      <c r="F27" s="369"/>
      <c r="G27" s="28"/>
      <c r="H27" s="28"/>
      <c r="I27" s="28"/>
      <c r="J27" s="28"/>
      <c r="K27" s="28"/>
      <c r="L27" s="28"/>
      <c r="M27" s="28"/>
      <c r="N27" s="29"/>
      <c r="O27" s="29"/>
      <c r="P27" s="29"/>
      <c r="Q27" s="30"/>
      <c r="R27" s="377"/>
      <c r="S27" s="30"/>
      <c r="T27" s="31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</row>
    <row r="28" spans="1:36" s="2" customFormat="1" x14ac:dyDescent="0.2">
      <c r="A28" s="99"/>
      <c r="B28" s="100"/>
      <c r="C28" s="311"/>
      <c r="D28" s="91" t="s">
        <v>294</v>
      </c>
      <c r="E28" s="17">
        <v>4350</v>
      </c>
      <c r="F28" s="370"/>
      <c r="G28" s="46"/>
      <c r="H28" s="46"/>
      <c r="I28" s="46"/>
      <c r="J28" s="46"/>
      <c r="K28" s="46"/>
      <c r="L28" s="46"/>
      <c r="M28" s="46"/>
      <c r="N28" s="47"/>
      <c r="O28" s="47"/>
      <c r="P28" s="47"/>
      <c r="Q28" s="328"/>
      <c r="R28" s="378"/>
      <c r="S28" s="328"/>
      <c r="T28" s="329"/>
      <c r="U28" s="330"/>
      <c r="V28" s="330"/>
      <c r="W28" s="330"/>
      <c r="X28" s="330"/>
      <c r="Y28" s="330"/>
      <c r="Z28" s="330"/>
      <c r="AA28" s="330"/>
      <c r="AB28" s="330"/>
      <c r="AC28" s="330"/>
      <c r="AD28" s="330"/>
      <c r="AE28" s="330"/>
      <c r="AF28" s="330"/>
      <c r="AG28" s="330"/>
      <c r="AH28" s="330"/>
    </row>
    <row r="29" spans="1:36" s="2" customFormat="1" x14ac:dyDescent="0.2">
      <c r="A29" s="99"/>
      <c r="B29" s="100"/>
      <c r="C29" s="311"/>
      <c r="D29" s="91" t="s">
        <v>296</v>
      </c>
      <c r="E29" s="17">
        <v>4690</v>
      </c>
      <c r="F29" s="370"/>
      <c r="G29" s="46"/>
      <c r="H29" s="46"/>
      <c r="I29" s="46"/>
      <c r="J29" s="46"/>
      <c r="K29" s="46"/>
      <c r="L29" s="46"/>
      <c r="M29" s="46"/>
      <c r="N29" s="47"/>
      <c r="O29" s="47"/>
      <c r="P29" s="47"/>
      <c r="Q29" s="328"/>
      <c r="R29" s="378"/>
      <c r="S29" s="328"/>
      <c r="T29" s="329"/>
      <c r="U29" s="330"/>
      <c r="V29" s="330"/>
      <c r="W29" s="330"/>
      <c r="X29" s="330"/>
      <c r="Y29" s="330"/>
      <c r="Z29" s="330"/>
      <c r="AA29" s="330"/>
      <c r="AB29" s="330"/>
      <c r="AC29" s="330"/>
      <c r="AD29" s="330"/>
      <c r="AE29" s="330"/>
      <c r="AF29" s="330"/>
      <c r="AG29" s="330"/>
      <c r="AH29" s="330"/>
    </row>
    <row r="30" spans="1:36" s="2" customFormat="1" x14ac:dyDescent="0.2">
      <c r="A30" s="99"/>
      <c r="B30" s="100"/>
      <c r="C30" s="311"/>
      <c r="D30" s="91" t="s">
        <v>295</v>
      </c>
      <c r="E30" s="17">
        <v>4816</v>
      </c>
      <c r="F30" s="370"/>
      <c r="G30" s="46"/>
      <c r="H30" s="46"/>
      <c r="I30" s="46"/>
      <c r="J30" s="46"/>
      <c r="K30" s="46"/>
      <c r="L30" s="46"/>
      <c r="M30" s="46"/>
      <c r="N30" s="47"/>
      <c r="O30" s="47"/>
      <c r="P30" s="47"/>
      <c r="Q30" s="328"/>
      <c r="R30" s="378"/>
      <c r="S30" s="328"/>
      <c r="T30" s="329"/>
      <c r="U30" s="330"/>
      <c r="V30" s="330"/>
      <c r="W30" s="330"/>
      <c r="X30" s="330"/>
      <c r="Y30" s="330"/>
      <c r="Z30" s="330"/>
      <c r="AA30" s="330"/>
      <c r="AB30" s="330"/>
      <c r="AC30" s="330"/>
      <c r="AD30" s="330"/>
      <c r="AE30" s="330"/>
      <c r="AF30" s="330"/>
      <c r="AG30" s="330"/>
      <c r="AH30" s="330"/>
    </row>
    <row r="31" spans="1:36" s="2" customFormat="1" x14ac:dyDescent="0.2">
      <c r="A31" s="99"/>
      <c r="B31" s="100"/>
      <c r="C31" s="311"/>
      <c r="D31" s="91" t="s">
        <v>299</v>
      </c>
      <c r="E31" s="17">
        <v>4395</v>
      </c>
      <c r="F31" s="370"/>
      <c r="G31" s="46"/>
      <c r="H31" s="46"/>
      <c r="I31" s="46"/>
      <c r="J31" s="46"/>
      <c r="K31" s="46"/>
      <c r="L31" s="46"/>
      <c r="M31" s="46"/>
      <c r="N31" s="47"/>
      <c r="O31" s="47"/>
      <c r="P31" s="47"/>
      <c r="Q31" s="328"/>
      <c r="R31" s="378"/>
      <c r="S31" s="328"/>
      <c r="T31" s="329"/>
      <c r="U31" s="330"/>
      <c r="V31" s="330"/>
      <c r="W31" s="330"/>
      <c r="X31" s="330"/>
      <c r="Y31" s="330"/>
      <c r="Z31" s="330"/>
      <c r="AA31" s="330"/>
      <c r="AB31" s="330"/>
      <c r="AC31" s="330"/>
      <c r="AD31" s="330"/>
      <c r="AE31" s="330"/>
      <c r="AF31" s="330"/>
      <c r="AG31" s="330"/>
      <c r="AH31" s="330"/>
    </row>
    <row r="32" spans="1:36" s="2" customFormat="1" x14ac:dyDescent="0.2">
      <c r="A32" s="99"/>
      <c r="B32" s="100"/>
      <c r="C32" s="311"/>
      <c r="D32" s="91" t="s">
        <v>300</v>
      </c>
      <c r="E32" s="17">
        <v>4375</v>
      </c>
      <c r="F32" s="370"/>
      <c r="G32" s="46"/>
      <c r="H32" s="46"/>
      <c r="I32" s="46"/>
      <c r="J32" s="46"/>
      <c r="K32" s="46"/>
      <c r="L32" s="46"/>
      <c r="M32" s="46"/>
      <c r="N32" s="47"/>
      <c r="O32" s="47"/>
      <c r="P32" s="47"/>
      <c r="Q32" s="328"/>
      <c r="R32" s="378"/>
      <c r="S32" s="328"/>
      <c r="T32" s="329"/>
      <c r="U32" s="330"/>
      <c r="V32" s="330"/>
      <c r="W32" s="330"/>
      <c r="X32" s="330"/>
      <c r="Y32" s="330"/>
      <c r="Z32" s="330"/>
      <c r="AA32" s="330"/>
      <c r="AB32" s="330"/>
      <c r="AC32" s="330"/>
      <c r="AD32" s="330"/>
      <c r="AE32" s="330"/>
      <c r="AF32" s="330"/>
      <c r="AG32" s="330"/>
      <c r="AH32" s="330"/>
    </row>
    <row r="33" spans="1:48" s="2" customFormat="1" x14ac:dyDescent="0.2">
      <c r="A33" s="99"/>
      <c r="B33" s="100"/>
      <c r="C33" s="311"/>
      <c r="D33" s="91" t="s">
        <v>301</v>
      </c>
      <c r="E33" s="17">
        <v>4700</v>
      </c>
      <c r="F33" s="370"/>
      <c r="G33" s="46"/>
      <c r="H33" s="46"/>
      <c r="I33" s="46"/>
      <c r="J33" s="46"/>
      <c r="K33" s="46"/>
      <c r="L33" s="46"/>
      <c r="M33" s="46"/>
      <c r="N33" s="47"/>
      <c r="O33" s="47"/>
      <c r="P33" s="47"/>
      <c r="Q33" s="328"/>
      <c r="R33" s="378"/>
      <c r="S33" s="328"/>
      <c r="T33" s="329"/>
      <c r="U33" s="330"/>
      <c r="V33" s="330"/>
      <c r="W33" s="330"/>
      <c r="X33" s="330"/>
      <c r="Y33" s="330"/>
      <c r="Z33" s="330"/>
      <c r="AA33" s="330"/>
      <c r="AB33" s="330"/>
      <c r="AC33" s="330"/>
      <c r="AD33" s="330"/>
      <c r="AE33" s="330"/>
      <c r="AF33" s="330"/>
      <c r="AG33" s="330"/>
      <c r="AH33" s="330"/>
    </row>
    <row r="34" spans="1:48" s="2" customFormat="1" x14ac:dyDescent="0.2">
      <c r="A34" s="99"/>
      <c r="B34" s="100"/>
      <c r="C34" s="311"/>
      <c r="D34" s="91" t="s">
        <v>302</v>
      </c>
      <c r="E34" s="17">
        <v>4800</v>
      </c>
      <c r="F34" s="370"/>
      <c r="G34" s="46"/>
      <c r="H34" s="46"/>
      <c r="I34" s="46"/>
      <c r="J34" s="46"/>
      <c r="K34" s="46"/>
      <c r="L34" s="46"/>
      <c r="M34" s="46"/>
      <c r="N34" s="47"/>
      <c r="O34" s="47"/>
      <c r="P34" s="47"/>
      <c r="Q34" s="328"/>
      <c r="R34" s="378"/>
      <c r="S34" s="328"/>
      <c r="T34" s="329"/>
      <c r="U34" s="330"/>
      <c r="V34" s="330"/>
      <c r="W34" s="330"/>
      <c r="X34" s="330"/>
      <c r="Y34" s="330"/>
      <c r="Z34" s="330"/>
      <c r="AA34" s="330"/>
      <c r="AB34" s="330"/>
      <c r="AC34" s="330"/>
      <c r="AD34" s="330"/>
      <c r="AE34" s="330"/>
      <c r="AF34" s="330"/>
      <c r="AG34" s="330"/>
      <c r="AH34" s="330"/>
    </row>
    <row r="35" spans="1:48" s="2" customFormat="1" x14ac:dyDescent="0.2">
      <c r="A35" s="93" t="s">
        <v>67</v>
      </c>
      <c r="B35" s="100" t="s">
        <v>265</v>
      </c>
      <c r="C35" s="311"/>
      <c r="D35" s="17">
        <v>2575</v>
      </c>
      <c r="E35" s="38"/>
      <c r="F35" s="33"/>
      <c r="G35" s="33"/>
      <c r="H35" s="33"/>
      <c r="I35" s="33"/>
      <c r="J35" s="33"/>
      <c r="K35" s="33"/>
      <c r="L35" s="34"/>
      <c r="M35" s="34"/>
      <c r="N35" s="34"/>
      <c r="O35" s="35"/>
      <c r="P35" s="35"/>
      <c r="Q35" s="35"/>
      <c r="R35" s="379"/>
      <c r="S35" s="36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  <c r="AF35" s="37"/>
      <c r="AG35" s="37"/>
      <c r="AH35" s="37"/>
    </row>
    <row r="36" spans="1:48" s="2" customFormat="1" ht="25.5" x14ac:dyDescent="0.35">
      <c r="A36" s="39" t="s">
        <v>57</v>
      </c>
      <c r="B36" s="4"/>
      <c r="C36" s="20"/>
      <c r="D36" s="3"/>
      <c r="E36" s="4"/>
      <c r="F36" s="3"/>
      <c r="G36" s="3"/>
      <c r="H36" s="3"/>
      <c r="I36" s="3"/>
      <c r="J36" s="3"/>
      <c r="K36" s="3"/>
      <c r="L36" s="3"/>
      <c r="M36" s="3"/>
      <c r="N36" s="3"/>
      <c r="O36" s="3"/>
      <c r="P36" s="3" t="s">
        <v>321</v>
      </c>
      <c r="Q36" s="3"/>
      <c r="R36" s="380"/>
      <c r="S36" s="3"/>
      <c r="T36" s="3"/>
      <c r="U36" s="3"/>
      <c r="V36" s="3"/>
      <c r="W36" s="3"/>
      <c r="X36" s="3"/>
      <c r="Y36" s="3"/>
      <c r="Z36" s="4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4"/>
      <c r="AU36" s="4"/>
      <c r="AV36" s="4"/>
    </row>
    <row r="37" spans="1:48" x14ac:dyDescent="0.2">
      <c r="P37" s="333" t="s">
        <v>319</v>
      </c>
      <c r="Q37" s="335" t="s">
        <v>320</v>
      </c>
    </row>
    <row r="38" spans="1:48" x14ac:dyDescent="0.2">
      <c r="P38" s="334" t="s">
        <v>293</v>
      </c>
      <c r="Q38" s="336" t="s">
        <v>296</v>
      </c>
    </row>
    <row r="39" spans="1:48" x14ac:dyDescent="0.2">
      <c r="P39" s="334"/>
      <c r="Q39" s="336"/>
      <c r="R39" s="381" t="s">
        <v>319</v>
      </c>
      <c r="S39" s="334" t="s">
        <v>293</v>
      </c>
      <c r="T39" s="334" t="s">
        <v>299</v>
      </c>
      <c r="U39" t="s">
        <v>322</v>
      </c>
    </row>
    <row r="40" spans="1:48" x14ac:dyDescent="0.2">
      <c r="P40" s="334"/>
      <c r="Q40" s="336"/>
      <c r="S40" s="334" t="s">
        <v>294</v>
      </c>
      <c r="T40" s="334" t="s">
        <v>300</v>
      </c>
    </row>
    <row r="41" spans="1:48" x14ac:dyDescent="0.2">
      <c r="P41" s="334"/>
      <c r="Q41" s="336"/>
      <c r="R41" s="382" t="s">
        <v>320</v>
      </c>
      <c r="S41" s="336" t="s">
        <v>296</v>
      </c>
      <c r="T41" s="336" t="s">
        <v>301</v>
      </c>
    </row>
    <row r="42" spans="1:48" x14ac:dyDescent="0.2">
      <c r="P42" s="334"/>
      <c r="Q42" s="336"/>
      <c r="S42" s="336" t="s">
        <v>295</v>
      </c>
      <c r="T42" s="336" t="s">
        <v>302</v>
      </c>
    </row>
    <row r="43" spans="1:48" x14ac:dyDescent="0.2">
      <c r="P43" s="334"/>
      <c r="Q43" s="336"/>
    </row>
    <row r="44" spans="1:48" x14ac:dyDescent="0.2">
      <c r="P44" s="334" t="s">
        <v>299</v>
      </c>
      <c r="Q44" s="336" t="s">
        <v>301</v>
      </c>
    </row>
    <row r="45" spans="1:48" x14ac:dyDescent="0.2">
      <c r="P45" s="334"/>
      <c r="Q45" s="336"/>
      <c r="R45" s="381" t="s">
        <v>319</v>
      </c>
      <c r="S45" s="334" t="s">
        <v>293</v>
      </c>
      <c r="T45" s="338" t="s">
        <v>299</v>
      </c>
      <c r="U45" t="s">
        <v>323</v>
      </c>
    </row>
    <row r="46" spans="1:48" x14ac:dyDescent="0.2">
      <c r="P46" s="334"/>
      <c r="Q46" s="336"/>
      <c r="S46" s="334" t="s">
        <v>294</v>
      </c>
      <c r="T46" s="338" t="s">
        <v>300</v>
      </c>
    </row>
    <row r="47" spans="1:48" x14ac:dyDescent="0.2">
      <c r="P47" s="334"/>
      <c r="Q47" s="336"/>
      <c r="R47" s="382" t="s">
        <v>320</v>
      </c>
      <c r="S47" s="336" t="s">
        <v>296</v>
      </c>
      <c r="T47" s="337" t="s">
        <v>301</v>
      </c>
    </row>
    <row r="48" spans="1:48" x14ac:dyDescent="0.2">
      <c r="P48" s="334"/>
      <c r="Q48" s="336"/>
      <c r="S48" s="336" t="s">
        <v>295</v>
      </c>
      <c r="T48" s="337" t="s">
        <v>302</v>
      </c>
    </row>
    <row r="49" spans="16:20" x14ac:dyDescent="0.2">
      <c r="P49" s="334"/>
      <c r="Q49" s="336"/>
      <c r="S49" t="s">
        <v>324</v>
      </c>
      <c r="T49" s="339" t="s">
        <v>325</v>
      </c>
    </row>
    <row r="50" spans="16:20" x14ac:dyDescent="0.2">
      <c r="P50" s="334" t="s">
        <v>294</v>
      </c>
      <c r="Q50" s="336" t="s">
        <v>295</v>
      </c>
    </row>
    <row r="51" spans="16:20" x14ac:dyDescent="0.2">
      <c r="P51" s="334"/>
      <c r="Q51" s="336"/>
    </row>
    <row r="52" spans="16:20" x14ac:dyDescent="0.2">
      <c r="P52" s="334"/>
      <c r="Q52" s="336"/>
    </row>
    <row r="53" spans="16:20" x14ac:dyDescent="0.2">
      <c r="P53" s="334"/>
      <c r="Q53" s="336"/>
    </row>
    <row r="54" spans="16:20" x14ac:dyDescent="0.2">
      <c r="P54" s="334"/>
      <c r="Q54" s="336"/>
    </row>
    <row r="55" spans="16:20" ht="15.75" x14ac:dyDescent="0.25">
      <c r="P55" s="334"/>
      <c r="Q55" s="336"/>
      <c r="S55" s="371"/>
    </row>
    <row r="56" spans="16:20" ht="15.75" x14ac:dyDescent="0.25">
      <c r="P56" s="334" t="s">
        <v>300</v>
      </c>
      <c r="Q56" s="336" t="s">
        <v>302</v>
      </c>
      <c r="S56" s="371"/>
    </row>
    <row r="57" spans="16:20" ht="15.75" x14ac:dyDescent="0.25">
      <c r="P57" s="334"/>
      <c r="Q57" s="336"/>
      <c r="S57" s="371"/>
    </row>
  </sheetData>
  <protectedRanges>
    <protectedRange sqref="D35 D22:G25 E27:E34" name="DDR2Clk_1"/>
    <protectedRange sqref="K9:L10 M5:M20 I7:I8 K13:L14 I11:I12 K17:L18 I15:I16 J5:J20 I19:I20 H17:I18 H9:I10 K5:L6 D5:I6 D13:I14" name="DDR2Clk_1_1"/>
  </protectedRanges>
  <phoneticPr fontId="25" type="noConversion"/>
  <conditionalFormatting sqref="A1:AH1">
    <cfRule type="expression" dxfId="150" priority="12" stopIfTrue="1">
      <formula>$E$1 = "Fail"</formula>
    </cfRule>
    <cfRule type="expression" dxfId="149" priority="13" stopIfTrue="1">
      <formula>$E$1 = "Pass"</formula>
    </cfRule>
  </conditionalFormatting>
  <conditionalFormatting sqref="Q5:R20">
    <cfRule type="cellIs" dxfId="148" priority="10" stopIfTrue="1" operator="equal">
      <formula>"Pass"</formula>
    </cfRule>
    <cfRule type="cellIs" dxfId="147" priority="11" stopIfTrue="1" operator="equal">
      <formula>"""Pass"""</formula>
    </cfRule>
  </conditionalFormatting>
  <conditionalFormatting sqref="Q22:R25">
    <cfRule type="cellIs" dxfId="146" priority="7" stopIfTrue="1" operator="equal">
      <formula>"Pass"</formula>
    </cfRule>
    <cfRule type="cellIs" dxfId="145" priority="8" stopIfTrue="1" operator="notEqual">
      <formula>"Pass"</formula>
    </cfRule>
  </conditionalFormatting>
  <conditionalFormatting sqref="S5:T6 V5:V6 Z5:AA6 W5:X20 AB5:AH20 V9:V10 Z9:AA10 S13:T14 V13:V14 Z13:AA14 V17:V18 Z17:AA18 S22:U25 AE22:AH25 Y26:AH26 T27:AD34 AH27:AH34 AE27:AG35 S35:AD35">
    <cfRule type="cellIs" dxfId="144" priority="2" stopIfTrue="1" operator="notEqual">
      <formula>"pass"</formula>
    </cfRule>
  </conditionalFormatting>
  <conditionalFormatting sqref="S5:T6 V5:V6 Z5:AA6 W5:Y20 AB5:AH20 V9:V10 Z9:AA10 S13:T14 V13:V14 Z13:AA14 V17:V18 Z17:AA18 S22:U25 AE22:AH25 Y26:AH26 T27:AD34 AE27:AH35 S35:AD35">
    <cfRule type="cellIs" dxfId="143" priority="1" stopIfTrue="1" operator="equal">
      <formula>"Pass"</formula>
    </cfRule>
  </conditionalFormatting>
  <conditionalFormatting sqref="S26:X26 Q27:S34 O35:R35">
    <cfRule type="cellIs" priority="9" stopIfTrue="1" operator="equal">
      <formula>""""""</formula>
    </cfRule>
  </conditionalFormatting>
  <conditionalFormatting sqref="Y5:Y20">
    <cfRule type="cellIs" dxfId="142" priority="6" stopIfTrue="1" operator="notEqual">
      <formula>"Pass"</formula>
    </cfRule>
  </conditionalFormatting>
  <conditionalFormatting sqref="AH35">
    <cfRule type="cellIs" dxfId="141" priority="4" stopIfTrue="1" operator="notEqual">
      <formula>"pass"</formula>
    </cfRule>
  </conditionalFormatting>
  <pageMargins left="0.75" right="0.75" top="1" bottom="1" header="0.5" footer="0.5"/>
  <pageSetup orientation="portrait" verticalDpi="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Visio.Drawing.11" shapeId="16978" r:id="rId4">
          <objectPr defaultSize="0" autoPict="0" r:id="rId5">
            <anchor moveWithCells="1">
              <from>
                <xdr:col>3</xdr:col>
                <xdr:colOff>542925</xdr:colOff>
                <xdr:row>39</xdr:row>
                <xdr:rowOff>76200</xdr:rowOff>
              </from>
              <to>
                <xdr:col>13</xdr:col>
                <xdr:colOff>447675</xdr:colOff>
                <xdr:row>55</xdr:row>
                <xdr:rowOff>47625</xdr:rowOff>
              </to>
            </anchor>
          </objectPr>
        </oleObject>
      </mc:Choice>
      <mc:Fallback>
        <oleObject progId="Visio.Drawing.11" shapeId="16978" r:id="rId4"/>
      </mc:Fallback>
    </mc:AlternateContent>
    <mc:AlternateContent xmlns:mc="http://schemas.openxmlformats.org/markup-compatibility/2006">
      <mc:Choice Requires="x14">
        <oleObject progId="Visio.Drawing.11" shapeId="16979" r:id="rId6">
          <objectPr defaultSize="0" autoPict="0" r:id="rId7">
            <anchor moveWithCells="1">
              <from>
                <xdr:col>3</xdr:col>
                <xdr:colOff>38100</xdr:colOff>
                <xdr:row>59</xdr:row>
                <xdr:rowOff>38100</xdr:rowOff>
              </from>
              <to>
                <xdr:col>12</xdr:col>
                <xdr:colOff>723900</xdr:colOff>
                <xdr:row>80</xdr:row>
                <xdr:rowOff>142875</xdr:rowOff>
              </to>
            </anchor>
          </objectPr>
        </oleObject>
      </mc:Choice>
      <mc:Fallback>
        <oleObject progId="Visio.Drawing.11" shapeId="16979" r:id="rId6"/>
      </mc:Fallback>
    </mc:AlternateContent>
  </oleObject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8"/>
  <dimension ref="A1:AY133"/>
  <sheetViews>
    <sheetView zoomScale="75" workbookViewId="0">
      <selection activeCell="AS27" sqref="AS27"/>
    </sheetView>
  </sheetViews>
  <sheetFormatPr defaultRowHeight="12.75" x14ac:dyDescent="0.2"/>
  <cols>
    <col min="1" max="1" width="15.7109375" style="2" customWidth="1"/>
    <col min="2" max="2" width="10.7109375" style="2" customWidth="1"/>
    <col min="3" max="3" width="8.42578125" style="2" customWidth="1"/>
    <col min="4" max="4" width="0.85546875" style="2" customWidth="1"/>
    <col min="5" max="5" width="10.42578125" style="2" customWidth="1"/>
    <col min="6" max="6" width="9.7109375" style="2" customWidth="1"/>
    <col min="7" max="7" width="10" style="2" customWidth="1"/>
    <col min="8" max="8" width="9" style="2" customWidth="1"/>
    <col min="9" max="9" width="0.85546875" style="2" customWidth="1"/>
    <col min="10" max="10" width="13.140625" style="2" customWidth="1"/>
    <col min="11" max="11" width="19.140625" style="2" customWidth="1"/>
    <col min="12" max="12" width="0.85546875" style="2" customWidth="1"/>
    <col min="13" max="13" width="14" style="2" bestFit="1" customWidth="1"/>
    <col min="14" max="14" width="17.28515625" style="2" customWidth="1"/>
    <col min="15" max="15" width="0.85546875" style="2" customWidth="1"/>
    <col min="16" max="16" width="10.7109375" style="2" customWidth="1"/>
    <col min="17" max="17" width="10.5703125" style="2" customWidth="1"/>
    <col min="18" max="18" width="14.7109375" style="2" customWidth="1"/>
    <col min="19" max="19" width="16.7109375" style="2" customWidth="1"/>
    <col min="20" max="20" width="13.28515625" style="2" customWidth="1"/>
    <col min="21" max="21" width="22" style="2" customWidth="1"/>
    <col min="22" max="22" width="25.140625" style="2" customWidth="1"/>
    <col min="23" max="23" width="14.5703125" style="2" customWidth="1"/>
    <col min="24" max="24" width="16.85546875" style="2" customWidth="1"/>
    <col min="25" max="25" width="20" style="2" customWidth="1"/>
    <col min="26" max="26" width="14.85546875" style="2" customWidth="1"/>
    <col min="27" max="27" width="17.85546875" style="2" customWidth="1"/>
    <col min="28" max="28" width="12.5703125" style="2" customWidth="1"/>
    <col min="29" max="29" width="11.140625" style="2" customWidth="1"/>
    <col min="30" max="30" width="13.28515625" style="2" customWidth="1"/>
    <col min="31" max="31" width="11.7109375" style="2" customWidth="1"/>
    <col min="32" max="32" width="11.140625" style="2" customWidth="1"/>
    <col min="33" max="33" width="16.28515625" style="2" customWidth="1"/>
    <col min="34" max="35" width="22.85546875" style="2" customWidth="1"/>
    <col min="36" max="36" width="22.85546875" style="2" hidden="1" customWidth="1"/>
    <col min="37" max="37" width="12.5703125" style="2" hidden="1" customWidth="1"/>
    <col min="38" max="38" width="15.28515625" style="2" hidden="1" customWidth="1"/>
    <col min="39" max="39" width="13.5703125" style="2" customWidth="1"/>
    <col min="40" max="40" width="26.42578125" style="2" customWidth="1"/>
    <col min="41" max="41" width="24.85546875" style="2" customWidth="1"/>
    <col min="42" max="42" width="22.5703125" style="2" customWidth="1"/>
    <col min="43" max="48" width="14.7109375" style="2" customWidth="1"/>
    <col min="49" max="49" width="9" style="2" customWidth="1"/>
    <col min="50" max="50" width="8.85546875" style="2" customWidth="1"/>
    <col min="51" max="51" width="9.28515625" style="2" customWidth="1"/>
    <col min="52" max="52" width="9.140625" style="2"/>
    <col min="53" max="53" width="18" style="2" customWidth="1"/>
    <col min="54" max="54" width="13.85546875" style="2" customWidth="1"/>
    <col min="55" max="55" width="15.5703125" style="2" customWidth="1"/>
    <col min="56" max="56" width="10.7109375" style="2" customWidth="1"/>
    <col min="57" max="16384" width="9.140625" style="2"/>
  </cols>
  <sheetData>
    <row r="1" spans="1:38" ht="26.25" x14ac:dyDescent="0.2">
      <c r="A1" s="998" t="s">
        <v>276</v>
      </c>
      <c r="B1" s="999"/>
      <c r="C1" s="999"/>
      <c r="D1" s="999"/>
      <c r="E1" s="999"/>
      <c r="F1" s="1000" t="e">
        <f ca="1">IF(AND(AK7="Pass",AK8="Pass",AK34="Pass",AK35="Pass",AK60="Pass",AK61="Pass",AK86="Pass",AK87="Pass",AK112="Pass",AK113="Pass"),"Pass","Fail")</f>
        <v>#REF!</v>
      </c>
      <c r="G1" s="1000"/>
      <c r="H1" s="412"/>
      <c r="I1" s="412"/>
      <c r="J1" s="412"/>
      <c r="K1" s="412"/>
      <c r="L1" s="412"/>
      <c r="M1" s="412"/>
      <c r="N1" s="412"/>
      <c r="O1" s="412"/>
      <c r="P1" s="412"/>
      <c r="Q1" s="412"/>
      <c r="R1" s="412"/>
      <c r="S1" s="412"/>
      <c r="T1" s="412"/>
      <c r="U1" s="412"/>
      <c r="V1" s="412"/>
      <c r="W1" s="412"/>
      <c r="X1" s="412"/>
      <c r="Y1" s="412"/>
      <c r="Z1" s="413"/>
    </row>
    <row r="2" spans="1:38" s="82" customFormat="1" x14ac:dyDescent="0.2">
      <c r="A2" s="414" t="s">
        <v>58</v>
      </c>
      <c r="B2" s="268" t="e">
        <f>'DDR2 Clocks - 2L'!B2</f>
        <v>#REF!</v>
      </c>
      <c r="C2" s="421"/>
      <c r="D2" s="421"/>
      <c r="E2" s="421"/>
      <c r="F2" s="422"/>
      <c r="G2" s="422"/>
      <c r="H2" s="423"/>
      <c r="I2" s="423"/>
      <c r="J2" s="423"/>
      <c r="K2" s="423"/>
      <c r="L2" s="423"/>
      <c r="M2" s="423"/>
      <c r="N2" s="423"/>
      <c r="O2" s="423"/>
      <c r="P2" s="423"/>
      <c r="Q2" s="423"/>
      <c r="R2" s="423"/>
      <c r="S2" s="423"/>
      <c r="T2" s="423"/>
      <c r="U2" s="423"/>
      <c r="V2" s="423"/>
      <c r="W2" s="423"/>
      <c r="X2" s="423"/>
      <c r="Y2" s="423"/>
      <c r="Z2" s="424"/>
    </row>
    <row r="3" spans="1:38" s="133" customFormat="1" ht="54.75" customHeight="1" x14ac:dyDescent="0.2">
      <c r="A3" s="290" t="s">
        <v>494</v>
      </c>
      <c r="B3" s="290" t="s">
        <v>457</v>
      </c>
      <c r="C3" s="124" t="s">
        <v>70</v>
      </c>
      <c r="D3" s="125"/>
      <c r="E3" s="126" t="e">
        <f>"Escape
Length L0
 ["&amp;$B$2&amp;"]"</f>
        <v>#REF!</v>
      </c>
      <c r="F3" s="126" t="e">
        <f>"Breakout
Length L1
["&amp; $B$2&amp;"]"</f>
        <v>#REF!</v>
      </c>
      <c r="G3" s="126" t="e">
        <f>"Main
Length L2
[" &amp;$B$2&amp; " ]"</f>
        <v>#REF!</v>
      </c>
      <c r="H3" s="126" t="e">
        <f>"Breakin
Length S1  
[" &amp;$B$2&amp;"]"</f>
        <v>#REF!</v>
      </c>
      <c r="I3" s="417"/>
      <c r="J3" s="125" t="e">
        <f>"Via-to-via (SODIMM-to-Rt) L3 [" &amp;$B$2&amp;"]"</f>
        <v>#REF!</v>
      </c>
      <c r="K3" s="125" t="e">
        <f>"Via-to-Rt 
L4 [" &amp;$B$2&amp;"]"</f>
        <v>#REF!</v>
      </c>
      <c r="L3" s="417"/>
      <c r="M3" s="418" t="e">
        <f>"Total MB Length
(L0+L1+L2+S1)
[" &amp;$B$2&amp;"]"</f>
        <v>#REF!</v>
      </c>
      <c r="N3" s="417" t="e">
        <f>"Total Pad-to-Pin Length (P1+L0+L1+L2+S1)
[" &amp;$B$2&amp;"]"</f>
        <v>#REF!</v>
      </c>
      <c r="O3" s="125"/>
      <c r="P3" s="125" t="e">
        <f>"Target Min Length 
["&amp;$B$2&amp;"]"</f>
        <v>#REF!</v>
      </c>
      <c r="Q3" s="417" t="e">
        <f>"Target Max Length 
["&amp;$B$2&amp;"]"</f>
        <v>#REF!</v>
      </c>
      <c r="R3" s="419" t="e">
        <f>"Routed Too Short [" &amp;$B$2&amp;"]"</f>
        <v>#REF!</v>
      </c>
      <c r="S3" s="125" t="e">
        <f>"Routed Too Long [" &amp;$B$2&amp;"]"</f>
        <v>#REF!</v>
      </c>
      <c r="T3" s="420" t="e">
        <f>"L0 Length Test (&lt;=" &amp; IF($B$2="mil",1,0.0254)*50&amp;$B$2&amp;")"</f>
        <v>#REF!</v>
      </c>
      <c r="U3" s="420" t="e">
        <f>"L1 Length Test (&lt;=" &amp; IF($B$2="mil",1,0.0254)*500&amp;$B$2&amp;")"</f>
        <v>#REF!</v>
      </c>
      <c r="V3" s="420" t="e">
        <f>"S1 Length test (&lt;=" &amp; IF($B$2="mil",1,0.0254)*200 &amp;$B$2&amp;")"</f>
        <v>#REF!</v>
      </c>
      <c r="W3" s="417" t="e">
        <f>"Total Length    (L0+L1+L2+S1) Test
 ("&amp;IF($B$2="mil",1,0.0254)*500&amp;"-"&amp;IF($B$2="mil",1,0.0254)*4500&amp;IF($B$2="mil","mil","mm")&amp;")"</f>
        <v>#REF!</v>
      </c>
      <c r="X3" s="417" t="e">
        <f>"Total Length    (P1+L0+L1+L2+S1) Test
 (&lt;="&amp;IF($B$2="mil",1,25.4)*5000&amp;IF($B$2="mil","mil","mm")&amp;")"</f>
        <v>#REF!</v>
      </c>
      <c r="Y3" s="417" t="e">
        <f>"L3 Length Test (&lt;="&amp;IF($B$2="mil",1,0.0254)*1300&amp;$B$2&amp; ")"</f>
        <v>#REF!</v>
      </c>
      <c r="Z3" s="417" t="e">
        <f>"L4 Length Test (&lt;=" &amp; IF($B$2="mil",1,0.0254)*200&amp;$B$2&amp;") or (L3+L4&lt;= "&amp;IF($B$2="mil",1,0.0254)*1500&amp;$B$2&amp;")"</f>
        <v>#REF!</v>
      </c>
    </row>
    <row r="4" spans="1:38" s="4" customFormat="1" ht="12.75" customHeight="1" x14ac:dyDescent="0.2">
      <c r="A4" s="415" t="s">
        <v>259</v>
      </c>
      <c r="B4" s="134"/>
      <c r="C4" s="134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6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7"/>
      <c r="Z4" s="243"/>
      <c r="AA4" s="138"/>
      <c r="AB4" s="139"/>
      <c r="AC4" s="139"/>
    </row>
    <row r="5" spans="1:38" s="4" customFormat="1" ht="11.25" x14ac:dyDescent="0.2">
      <c r="A5" s="319" t="s">
        <v>263</v>
      </c>
      <c r="B5" s="141"/>
      <c r="C5" s="141"/>
      <c r="D5" s="142"/>
      <c r="E5" s="143"/>
      <c r="F5" s="143"/>
      <c r="G5" s="143"/>
      <c r="H5" s="143"/>
      <c r="I5" s="144"/>
      <c r="J5" s="144"/>
      <c r="K5" s="143"/>
      <c r="L5" s="144"/>
      <c r="M5" s="143"/>
      <c r="N5" s="145"/>
      <c r="O5" s="142"/>
      <c r="P5" s="481" t="e">
        <f>MIN('DDR2 Clocks - 2L'!$R$10:$R$13)</f>
        <v>#REF!</v>
      </c>
      <c r="Q5" s="481" t="e">
        <f>MAX('DDR2 Clocks - 2L'!$R$10:$R$13)</f>
        <v>#REF!</v>
      </c>
      <c r="R5" s="145"/>
      <c r="S5" s="145"/>
      <c r="T5" s="145"/>
      <c r="U5" s="482"/>
      <c r="V5" s="483"/>
      <c r="W5" s="483"/>
      <c r="X5" s="483"/>
      <c r="Y5" s="484"/>
      <c r="Z5" s="484"/>
      <c r="AA5" s="350"/>
      <c r="AB5" s="350"/>
      <c r="AC5" s="350"/>
      <c r="AD5" s="350"/>
      <c r="AE5" s="350"/>
      <c r="AF5" s="350"/>
      <c r="AG5" s="350"/>
      <c r="AH5" s="350"/>
      <c r="AI5" s="350"/>
      <c r="AK5" s="21"/>
      <c r="AL5" s="21"/>
    </row>
    <row r="6" spans="1:38" s="4" customFormat="1" ht="11.25" x14ac:dyDescent="0.2">
      <c r="A6" s="415" t="s">
        <v>286</v>
      </c>
      <c r="B6" s="134"/>
      <c r="C6" s="134"/>
      <c r="D6" s="155"/>
      <c r="E6" s="156"/>
      <c r="F6" s="156"/>
      <c r="G6" s="156"/>
      <c r="H6" s="156"/>
      <c r="I6" s="156"/>
      <c r="J6" s="157"/>
      <c r="K6" s="157"/>
      <c r="L6" s="156"/>
      <c r="M6" s="156"/>
      <c r="N6" s="156"/>
      <c r="O6" s="155"/>
      <c r="P6" s="155"/>
      <c r="Q6" s="476"/>
      <c r="R6" s="155"/>
      <c r="S6" s="155"/>
      <c r="T6" s="155"/>
      <c r="U6" s="155"/>
      <c r="V6" s="155"/>
      <c r="W6" s="155"/>
      <c r="X6" s="155"/>
      <c r="Y6" s="155"/>
      <c r="Z6" s="478"/>
      <c r="AA6" s="416"/>
      <c r="AB6" s="416"/>
      <c r="AC6" s="416"/>
      <c r="AD6" s="416"/>
      <c r="AE6" s="416"/>
      <c r="AF6" s="416"/>
      <c r="AG6" s="416"/>
      <c r="AH6" s="416"/>
      <c r="AI6" s="416"/>
    </row>
    <row r="7" spans="1:38" s="4" customFormat="1" x14ac:dyDescent="0.2">
      <c r="A7" s="161" t="s">
        <v>109</v>
      </c>
      <c r="B7" s="432" t="s">
        <v>467</v>
      </c>
      <c r="C7" s="562">
        <v>378.93700787401576</v>
      </c>
      <c r="D7" s="200"/>
      <c r="E7" s="165">
        <v>29.7</v>
      </c>
      <c r="F7" s="165">
        <v>0</v>
      </c>
      <c r="G7" s="270">
        <v>1600</v>
      </c>
      <c r="H7" s="270">
        <v>108.78</v>
      </c>
      <c r="I7" s="179"/>
      <c r="J7" s="276">
        <v>0</v>
      </c>
      <c r="K7" s="271">
        <v>47.6</v>
      </c>
      <c r="L7" s="168"/>
      <c r="M7" s="467">
        <f t="shared" ref="M7:M20" si="0" xml:space="preserve"> E7+F7+G7+H7</f>
        <v>1738.48</v>
      </c>
      <c r="N7" s="467" t="e">
        <f t="shared" ref="N7:N20" si="1">IF($B$2="mil",1,0.0254)*C7+ M7</f>
        <v>#REF!</v>
      </c>
      <c r="O7" s="468"/>
      <c r="P7" s="469" t="e">
        <f>MAX($P$5:$Q$5)+IF($B$2="mil",1,0.0254)*DDR2Specs!$B$9</f>
        <v>#REF!</v>
      </c>
      <c r="Q7" s="469" t="e">
        <f>MIN($P$5:$Q$5)+IF($B$2="mil",1,0.0254)*DDR2Specs!$C$9</f>
        <v>#REF!</v>
      </c>
      <c r="R7" s="470" t="e">
        <f t="shared" ref="R7:R20" si="2">IF($N7&lt;$P7,$P7-$N7,"Pass")</f>
        <v>#REF!</v>
      </c>
      <c r="S7" s="471" t="e">
        <f t="shared" ref="S7:S20" si="3">IF($N7&gt;$Q7,$N7-$Q7,"Pass")</f>
        <v>#REF!</v>
      </c>
      <c r="T7" s="472" t="e">
        <f>IF($E7&lt;=IF($B$2="mil",1,0.0254)*50,"Pass",IF($B$2="mil",1,0.0254)*50-$E7)</f>
        <v>#REF!</v>
      </c>
      <c r="U7" s="473" t="e">
        <f t="shared" ref="U7:U20" si="4">IF($F7&lt;=IF($B$2="mil",1,0.0254)*500,"Pass",IF($B$2="mil",1,0.0254)*500-$F7)</f>
        <v>#REF!</v>
      </c>
      <c r="V7" s="473" t="e">
        <f>IF($H7&lt;=IF($B$2="mil",1,0.0254)*200,"Pass",IF($B$2="mil",1,0.0254)*200-$H7)</f>
        <v>#REF!</v>
      </c>
      <c r="W7" s="473" t="e">
        <f>IF(AND($M7&gt;=IF($B$2="mil",1,0.0254)*500, $M7&lt;=IF($B$2="mil",1,0.0254)*4500),"Pass",IF($B$2="mil",1,0.0254)*4500-$M7)</f>
        <v>#REF!</v>
      </c>
      <c r="X7" s="473" t="e">
        <f>IF(AND($N7&gt;=IF($B$2="mil",1,0.0254)*500, $N7&lt;=IF($B$2="mil",1,0.0254)*5000),"Pass",IF($B$2="mil",1,0.0254)*5000-$N7)</f>
        <v>#REF!</v>
      </c>
      <c r="Y7" s="473" t="e">
        <f>IF((J7&lt;=IF($B$2="mil",1,0.0254)*1300),"Pass",IF($B$2="mil",1,0.0254)*1300-J7)</f>
        <v>#REF!</v>
      </c>
      <c r="Z7" s="474" t="e">
        <f ca="1">CheckLength2(IF($B$2="mil",1,0.0254)*1500,J7,K7,0)</f>
        <v>#NAME?</v>
      </c>
      <c r="AA7" s="350"/>
      <c r="AB7" s="350"/>
      <c r="AC7" s="350"/>
      <c r="AD7" s="350"/>
      <c r="AE7" s="350"/>
      <c r="AF7" s="350"/>
      <c r="AG7" s="350"/>
      <c r="AH7" s="350"/>
      <c r="AI7" s="350"/>
      <c r="AJ7" s="4" t="e">
        <f t="shared" ref="AJ7:AJ20" ca="1" si="5">IF(AND(R7="Pass",S7="Pass",T7="Pass",U7="Pass",V7="Pass",W7="Pass",X7="Pass",Y7="Pass",Z7="Pass"),"Pass","Fail")</f>
        <v>#REF!</v>
      </c>
      <c r="AK7" s="4" t="e">
        <f ca="1">IF(AND(AJ7="Pass",AJ8="Pass",AJ9="Pass",AJ10="Pass",AJ11="Pass",AJ12="Pass",AJ13="Pass",AJ14="Pass",AJ15="Pass"),"Pass","Fail")</f>
        <v>#REF!</v>
      </c>
    </row>
    <row r="8" spans="1:38" s="4" customFormat="1" x14ac:dyDescent="0.2">
      <c r="A8" s="161" t="s">
        <v>110</v>
      </c>
      <c r="B8" s="433" t="s">
        <v>105</v>
      </c>
      <c r="C8" s="562">
        <v>526.1811023622048</v>
      </c>
      <c r="D8" s="201"/>
      <c r="E8" s="165">
        <v>29.7</v>
      </c>
      <c r="F8" s="165">
        <v>0</v>
      </c>
      <c r="G8" s="270">
        <v>1500</v>
      </c>
      <c r="H8" s="270">
        <v>98.82</v>
      </c>
      <c r="I8" s="179"/>
      <c r="J8" s="276">
        <v>0</v>
      </c>
      <c r="K8" s="271">
        <v>73.38</v>
      </c>
      <c r="L8" s="168"/>
      <c r="M8" s="467">
        <f t="shared" si="0"/>
        <v>1628.52</v>
      </c>
      <c r="N8" s="467" t="e">
        <f t="shared" si="1"/>
        <v>#REF!</v>
      </c>
      <c r="O8" s="475"/>
      <c r="P8" s="469" t="e">
        <f>MAX($P$5:$Q$5)+IF($B$2="mil",1,0.0254)*DDR2Specs!$B$9</f>
        <v>#REF!</v>
      </c>
      <c r="Q8" s="469" t="e">
        <f>MIN($P$5:$Q$5)+IF($B$2="mil",1,0.0254)*DDR2Specs!$C$9</f>
        <v>#REF!</v>
      </c>
      <c r="R8" s="470" t="e">
        <f t="shared" si="2"/>
        <v>#REF!</v>
      </c>
      <c r="S8" s="471" t="e">
        <f t="shared" si="3"/>
        <v>#REF!</v>
      </c>
      <c r="T8" s="472" t="e">
        <f t="shared" ref="T8:T20" si="6">IF($E8&lt;=IF($B$2="mil",1,0.0254)*50,"Pass",IF($B$2="mil",1,0.0254)*50-$E8)</f>
        <v>#REF!</v>
      </c>
      <c r="U8" s="473" t="e">
        <f t="shared" si="4"/>
        <v>#REF!</v>
      </c>
      <c r="V8" s="473" t="e">
        <f t="shared" ref="V8:V28" si="7">IF($H8&lt;=IF($B$2="mil",1,0.0254)*200,"Pass",IF($B$2="mil",1,0.0254)*200-$H8)</f>
        <v>#REF!</v>
      </c>
      <c r="W8" s="473" t="e">
        <f t="shared" ref="W8:W20" si="8">IF(AND($M8&gt;=IF($B$2="mil",1,0.0254)*500, $M8&lt;=IF($B$2="mil",1,0.0254)*4500),"Pass",IF($B$2="mil",1,0.0254)*4500-$M8)</f>
        <v>#REF!</v>
      </c>
      <c r="X8" s="473" t="e">
        <f t="shared" ref="X8:X28" si="9">IF(AND($N8&gt;=IF($B$2="mil",1,0.0254)*500, $N8&lt;=IF($B$2="mil",1,0.0254)*5000),"Pass",IF($B$2="mil",1,0.0254)*5000-$N8)</f>
        <v>#REF!</v>
      </c>
      <c r="Y8" s="473" t="e">
        <f t="shared" ref="Y8:Y28" si="10">IF((J8&lt;=IF($B$2="mil",1,0.0254)*1300),"Pass",IF($B$2="mil",1,0.0254)*1300-J8)</f>
        <v>#REF!</v>
      </c>
      <c r="Z8" s="474" t="e">
        <f t="shared" ref="Z8:Z20" ca="1" si="11">CheckLength2(IF($B$2="mil",1,0.0254)*1500,J8,K8,0)</f>
        <v>#NAME?</v>
      </c>
      <c r="AA8" s="350"/>
      <c r="AB8" s="350"/>
      <c r="AC8" s="350"/>
      <c r="AD8" s="350"/>
      <c r="AE8" s="350"/>
      <c r="AF8" s="350"/>
      <c r="AG8" s="350"/>
      <c r="AH8" s="350"/>
      <c r="AI8" s="350"/>
      <c r="AJ8" s="4" t="e">
        <f t="shared" ca="1" si="5"/>
        <v>#REF!</v>
      </c>
      <c r="AK8" s="4" t="e">
        <f ca="1">IF(AND(AJ16="Pass",AJ17="Pass",AJ18="Pass",AJ19="Pass",AJ20="Pass",AJ22="Pass",AJ23="Pass",AJ24="Pass",AJ26="Pass",AJ27="Pass",AJ28="Pass"),"Pass","Fail")</f>
        <v>#REF!</v>
      </c>
    </row>
    <row r="9" spans="1:38" s="4" customFormat="1" x14ac:dyDescent="0.2">
      <c r="A9" s="161" t="s">
        <v>111</v>
      </c>
      <c r="B9" s="433" t="s">
        <v>468</v>
      </c>
      <c r="C9" s="562">
        <v>448.14960629921256</v>
      </c>
      <c r="D9" s="211"/>
      <c r="E9" s="165">
        <v>29.7</v>
      </c>
      <c r="F9" s="165">
        <v>0</v>
      </c>
      <c r="G9" s="270">
        <v>1600</v>
      </c>
      <c r="H9" s="270">
        <v>61.6</v>
      </c>
      <c r="I9" s="212"/>
      <c r="J9" s="276">
        <v>0</v>
      </c>
      <c r="K9" s="271">
        <v>101.57</v>
      </c>
      <c r="L9" s="213"/>
      <c r="M9" s="467">
        <f t="shared" si="0"/>
        <v>1691.3</v>
      </c>
      <c r="N9" s="467" t="e">
        <f t="shared" si="1"/>
        <v>#REF!</v>
      </c>
      <c r="O9" s="213"/>
      <c r="P9" s="469" t="e">
        <f>MAX($P$5:$Q$5)+IF($B$2="mil",1,0.0254)*DDR2Specs!$B$9</f>
        <v>#REF!</v>
      </c>
      <c r="Q9" s="469" t="e">
        <f>MIN($P$5:$Q$5)+IF($B$2="mil",1,0.0254)*DDR2Specs!$C$9</f>
        <v>#REF!</v>
      </c>
      <c r="R9" s="470" t="e">
        <f t="shared" si="2"/>
        <v>#REF!</v>
      </c>
      <c r="S9" s="471" t="e">
        <f t="shared" si="3"/>
        <v>#REF!</v>
      </c>
      <c r="T9" s="472" t="e">
        <f t="shared" si="6"/>
        <v>#REF!</v>
      </c>
      <c r="U9" s="473" t="e">
        <f t="shared" si="4"/>
        <v>#REF!</v>
      </c>
      <c r="V9" s="473" t="e">
        <f t="shared" si="7"/>
        <v>#REF!</v>
      </c>
      <c r="W9" s="473" t="e">
        <f t="shared" si="8"/>
        <v>#REF!</v>
      </c>
      <c r="X9" s="473" t="e">
        <f t="shared" si="9"/>
        <v>#REF!</v>
      </c>
      <c r="Y9" s="473" t="e">
        <f t="shared" si="10"/>
        <v>#REF!</v>
      </c>
      <c r="Z9" s="474" t="e">
        <f t="shared" ca="1" si="11"/>
        <v>#NAME?</v>
      </c>
      <c r="AA9" s="350"/>
      <c r="AB9" s="350"/>
      <c r="AC9" s="350"/>
      <c r="AD9" s="350"/>
      <c r="AE9" s="350"/>
      <c r="AF9" s="350"/>
      <c r="AG9" s="350"/>
      <c r="AH9" s="350"/>
      <c r="AI9" s="350"/>
      <c r="AJ9" s="4" t="e">
        <f t="shared" ca="1" si="5"/>
        <v>#REF!</v>
      </c>
    </row>
    <row r="10" spans="1:38" s="4" customFormat="1" x14ac:dyDescent="0.2">
      <c r="A10" s="161" t="s">
        <v>112</v>
      </c>
      <c r="B10" s="433" t="s">
        <v>469</v>
      </c>
      <c r="C10" s="562">
        <v>435.90551181102359</v>
      </c>
      <c r="D10" s="211"/>
      <c r="E10" s="165">
        <v>29.7</v>
      </c>
      <c r="F10" s="165">
        <v>0</v>
      </c>
      <c r="G10" s="270">
        <v>1600</v>
      </c>
      <c r="H10" s="270">
        <v>58</v>
      </c>
      <c r="I10" s="212"/>
      <c r="J10" s="276">
        <v>0</v>
      </c>
      <c r="K10" s="271">
        <v>123.99</v>
      </c>
      <c r="L10" s="213"/>
      <c r="M10" s="467">
        <f t="shared" si="0"/>
        <v>1687.7</v>
      </c>
      <c r="N10" s="467" t="e">
        <f t="shared" si="1"/>
        <v>#REF!</v>
      </c>
      <c r="O10" s="213"/>
      <c r="P10" s="469" t="e">
        <f>MAX($P$5:$Q$5)+IF($B$2="mil",1,0.0254)*DDR2Specs!$B$9</f>
        <v>#REF!</v>
      </c>
      <c r="Q10" s="469" t="e">
        <f>MIN($P$5:$Q$5)+IF($B$2="mil",1,0.0254)*DDR2Specs!$C$9</f>
        <v>#REF!</v>
      </c>
      <c r="R10" s="470" t="e">
        <f t="shared" si="2"/>
        <v>#REF!</v>
      </c>
      <c r="S10" s="471" t="e">
        <f t="shared" si="3"/>
        <v>#REF!</v>
      </c>
      <c r="T10" s="472" t="e">
        <f t="shared" si="6"/>
        <v>#REF!</v>
      </c>
      <c r="U10" s="473" t="e">
        <f t="shared" si="4"/>
        <v>#REF!</v>
      </c>
      <c r="V10" s="473" t="e">
        <f t="shared" si="7"/>
        <v>#REF!</v>
      </c>
      <c r="W10" s="473" t="e">
        <f t="shared" si="8"/>
        <v>#REF!</v>
      </c>
      <c r="X10" s="473" t="e">
        <f t="shared" si="9"/>
        <v>#REF!</v>
      </c>
      <c r="Y10" s="473" t="e">
        <f t="shared" si="10"/>
        <v>#REF!</v>
      </c>
      <c r="Z10" s="474" t="e">
        <f t="shared" ca="1" si="11"/>
        <v>#NAME?</v>
      </c>
      <c r="AA10" s="350"/>
      <c r="AB10" s="350"/>
      <c r="AC10" s="350"/>
      <c r="AD10" s="350"/>
      <c r="AE10" s="350"/>
      <c r="AF10" s="350"/>
      <c r="AG10" s="350"/>
      <c r="AH10" s="350"/>
      <c r="AI10" s="350"/>
      <c r="AJ10" s="4" t="e">
        <f t="shared" ca="1" si="5"/>
        <v>#REF!</v>
      </c>
    </row>
    <row r="11" spans="1:38" s="4" customFormat="1" x14ac:dyDescent="0.2">
      <c r="A11" s="161" t="s">
        <v>113</v>
      </c>
      <c r="B11" s="433" t="s">
        <v>470</v>
      </c>
      <c r="C11" s="562">
        <v>381.06299212598429</v>
      </c>
      <c r="D11" s="211"/>
      <c r="E11" s="165">
        <v>29.7</v>
      </c>
      <c r="F11" s="165">
        <v>0</v>
      </c>
      <c r="G11" s="270">
        <v>1600</v>
      </c>
      <c r="H11" s="270">
        <v>117.39</v>
      </c>
      <c r="I11" s="212"/>
      <c r="J11" s="276">
        <v>0</v>
      </c>
      <c r="K11" s="271">
        <v>52.53</v>
      </c>
      <c r="L11" s="213"/>
      <c r="M11" s="467">
        <f t="shared" si="0"/>
        <v>1747.0900000000001</v>
      </c>
      <c r="N11" s="467" t="e">
        <f t="shared" si="1"/>
        <v>#REF!</v>
      </c>
      <c r="O11" s="213"/>
      <c r="P11" s="469" t="e">
        <f>MAX($P$5:$Q$5)+IF($B$2="mil",1,0.0254)*DDR2Specs!$B$9</f>
        <v>#REF!</v>
      </c>
      <c r="Q11" s="469" t="e">
        <f>MIN($P$5:$Q$5)+IF($B$2="mil",1,0.0254)*DDR2Specs!$C$9</f>
        <v>#REF!</v>
      </c>
      <c r="R11" s="470" t="e">
        <f t="shared" si="2"/>
        <v>#REF!</v>
      </c>
      <c r="S11" s="471" t="e">
        <f t="shared" si="3"/>
        <v>#REF!</v>
      </c>
      <c r="T11" s="472" t="e">
        <f t="shared" si="6"/>
        <v>#REF!</v>
      </c>
      <c r="U11" s="473" t="e">
        <f t="shared" si="4"/>
        <v>#REF!</v>
      </c>
      <c r="V11" s="473" t="e">
        <f t="shared" si="7"/>
        <v>#REF!</v>
      </c>
      <c r="W11" s="473" t="e">
        <f t="shared" si="8"/>
        <v>#REF!</v>
      </c>
      <c r="X11" s="473" t="e">
        <f t="shared" si="9"/>
        <v>#REF!</v>
      </c>
      <c r="Y11" s="473" t="e">
        <f t="shared" si="10"/>
        <v>#REF!</v>
      </c>
      <c r="Z11" s="474" t="e">
        <f ca="1">CheckLength2(IF($B$2="mil",1,0.0254)*1500,J11,K11,0)</f>
        <v>#NAME?</v>
      </c>
      <c r="AA11" s="350"/>
      <c r="AB11" s="350"/>
      <c r="AC11" s="350"/>
      <c r="AD11" s="350"/>
      <c r="AE11" s="350"/>
      <c r="AF11" s="350"/>
      <c r="AG11" s="350"/>
      <c r="AH11" s="350"/>
      <c r="AI11" s="350"/>
      <c r="AJ11" s="4" t="e">
        <f t="shared" ca="1" si="5"/>
        <v>#REF!</v>
      </c>
    </row>
    <row r="12" spans="1:38" s="4" customFormat="1" x14ac:dyDescent="0.2">
      <c r="A12" s="161" t="s">
        <v>114</v>
      </c>
      <c r="B12" s="433" t="s">
        <v>471</v>
      </c>
      <c r="C12" s="562">
        <v>420.03937007874021</v>
      </c>
      <c r="D12" s="211"/>
      <c r="E12" s="165">
        <v>29.7</v>
      </c>
      <c r="F12" s="165">
        <v>0</v>
      </c>
      <c r="G12" s="270">
        <v>1600</v>
      </c>
      <c r="H12" s="270">
        <v>111.23</v>
      </c>
      <c r="I12" s="212"/>
      <c r="J12" s="276">
        <v>0</v>
      </c>
      <c r="K12" s="271">
        <v>83.88</v>
      </c>
      <c r="L12" s="213"/>
      <c r="M12" s="467">
        <f t="shared" si="0"/>
        <v>1740.93</v>
      </c>
      <c r="N12" s="467" t="e">
        <f t="shared" si="1"/>
        <v>#REF!</v>
      </c>
      <c r="O12" s="213"/>
      <c r="P12" s="469" t="e">
        <f>MAX($P$5:$Q$5)+IF($B$2="mil",1,0.0254)*DDR2Specs!$B$9</f>
        <v>#REF!</v>
      </c>
      <c r="Q12" s="469" t="e">
        <f>MIN($P$5:$Q$5)+IF($B$2="mil",1,0.0254)*DDR2Specs!$C$9</f>
        <v>#REF!</v>
      </c>
      <c r="R12" s="470" t="e">
        <f t="shared" si="2"/>
        <v>#REF!</v>
      </c>
      <c r="S12" s="471" t="e">
        <f t="shared" si="3"/>
        <v>#REF!</v>
      </c>
      <c r="T12" s="472" t="e">
        <f t="shared" si="6"/>
        <v>#REF!</v>
      </c>
      <c r="U12" s="473" t="e">
        <f t="shared" si="4"/>
        <v>#REF!</v>
      </c>
      <c r="V12" s="473" t="e">
        <f t="shared" si="7"/>
        <v>#REF!</v>
      </c>
      <c r="W12" s="473" t="e">
        <f t="shared" si="8"/>
        <v>#REF!</v>
      </c>
      <c r="X12" s="473" t="e">
        <f t="shared" si="9"/>
        <v>#REF!</v>
      </c>
      <c r="Y12" s="473" t="e">
        <f t="shared" si="10"/>
        <v>#REF!</v>
      </c>
      <c r="Z12" s="474" t="e">
        <f t="shared" ca="1" si="11"/>
        <v>#NAME?</v>
      </c>
      <c r="AA12" s="350"/>
      <c r="AB12" s="350"/>
      <c r="AC12" s="350"/>
      <c r="AD12" s="350"/>
      <c r="AE12" s="350"/>
      <c r="AF12" s="350"/>
      <c r="AG12" s="350"/>
      <c r="AH12" s="350"/>
      <c r="AI12" s="350"/>
      <c r="AJ12" s="4" t="e">
        <f t="shared" ca="1" si="5"/>
        <v>#REF!</v>
      </c>
    </row>
    <row r="13" spans="1:38" s="4" customFormat="1" x14ac:dyDescent="0.2">
      <c r="A13" s="161" t="s">
        <v>116</v>
      </c>
      <c r="B13" s="433" t="s">
        <v>472</v>
      </c>
      <c r="C13" s="562">
        <v>468.89763779527561</v>
      </c>
      <c r="D13" s="211"/>
      <c r="E13" s="165">
        <v>29.7</v>
      </c>
      <c r="F13" s="165">
        <v>0</v>
      </c>
      <c r="G13" s="270">
        <v>1600</v>
      </c>
      <c r="H13" s="270">
        <v>62.51</v>
      </c>
      <c r="I13" s="212"/>
      <c r="J13" s="276">
        <v>0</v>
      </c>
      <c r="K13" s="271">
        <v>104.42</v>
      </c>
      <c r="L13" s="213"/>
      <c r="M13" s="467">
        <f t="shared" si="0"/>
        <v>1692.21</v>
      </c>
      <c r="N13" s="467" t="e">
        <f t="shared" si="1"/>
        <v>#REF!</v>
      </c>
      <c r="O13" s="213"/>
      <c r="P13" s="469" t="e">
        <f>MAX($P$5:$Q$5)+IF($B$2="mil",1,0.0254)*DDR2Specs!$B$9</f>
        <v>#REF!</v>
      </c>
      <c r="Q13" s="469" t="e">
        <f>MIN($P$5:$Q$5)+IF($B$2="mil",1,0.0254)*DDR2Specs!$C$9</f>
        <v>#REF!</v>
      </c>
      <c r="R13" s="470" t="e">
        <f t="shared" si="2"/>
        <v>#REF!</v>
      </c>
      <c r="S13" s="471" t="e">
        <f t="shared" si="3"/>
        <v>#REF!</v>
      </c>
      <c r="T13" s="472" t="e">
        <f t="shared" si="6"/>
        <v>#REF!</v>
      </c>
      <c r="U13" s="473" t="e">
        <f t="shared" si="4"/>
        <v>#REF!</v>
      </c>
      <c r="V13" s="473" t="e">
        <f t="shared" si="7"/>
        <v>#REF!</v>
      </c>
      <c r="W13" s="473" t="e">
        <f t="shared" si="8"/>
        <v>#REF!</v>
      </c>
      <c r="X13" s="473" t="e">
        <f t="shared" si="9"/>
        <v>#REF!</v>
      </c>
      <c r="Y13" s="473" t="e">
        <f t="shared" si="10"/>
        <v>#REF!</v>
      </c>
      <c r="Z13" s="474" t="e">
        <f t="shared" ca="1" si="11"/>
        <v>#NAME?</v>
      </c>
      <c r="AA13" s="350"/>
      <c r="AB13" s="350"/>
      <c r="AC13" s="350"/>
      <c r="AD13" s="350"/>
      <c r="AE13" s="350"/>
      <c r="AF13" s="350"/>
      <c r="AG13" s="350"/>
      <c r="AH13" s="350"/>
      <c r="AI13" s="350"/>
      <c r="AJ13" s="4" t="e">
        <f t="shared" ca="1" si="5"/>
        <v>#REF!</v>
      </c>
    </row>
    <row r="14" spans="1:38" s="4" customFormat="1" x14ac:dyDescent="0.2">
      <c r="A14" s="161" t="s">
        <v>117</v>
      </c>
      <c r="B14" s="433" t="s">
        <v>357</v>
      </c>
      <c r="C14" s="562">
        <v>508.74015748031502</v>
      </c>
      <c r="D14" s="211"/>
      <c r="E14" s="165">
        <v>29.7</v>
      </c>
      <c r="F14" s="165">
        <v>0</v>
      </c>
      <c r="G14" s="270">
        <v>1600</v>
      </c>
      <c r="H14" s="270">
        <v>115.4</v>
      </c>
      <c r="I14" s="212"/>
      <c r="J14" s="276">
        <v>0</v>
      </c>
      <c r="K14" s="271">
        <v>72.38</v>
      </c>
      <c r="L14" s="213"/>
      <c r="M14" s="467">
        <f t="shared" si="0"/>
        <v>1745.1000000000001</v>
      </c>
      <c r="N14" s="467" t="e">
        <f t="shared" si="1"/>
        <v>#REF!</v>
      </c>
      <c r="O14" s="213"/>
      <c r="P14" s="469" t="e">
        <f>MAX($P$5:$Q$5)+IF($B$2="mil",1,0.0254)*DDR2Specs!$B$9</f>
        <v>#REF!</v>
      </c>
      <c r="Q14" s="469" t="e">
        <f>MIN($P$5:$Q$5)+IF($B$2="mil",1,0.0254)*DDR2Specs!$C$9</f>
        <v>#REF!</v>
      </c>
      <c r="R14" s="470" t="e">
        <f t="shared" si="2"/>
        <v>#REF!</v>
      </c>
      <c r="S14" s="471" t="e">
        <f t="shared" si="3"/>
        <v>#REF!</v>
      </c>
      <c r="T14" s="472" t="e">
        <f t="shared" si="6"/>
        <v>#REF!</v>
      </c>
      <c r="U14" s="473" t="e">
        <f t="shared" si="4"/>
        <v>#REF!</v>
      </c>
      <c r="V14" s="473" t="e">
        <f t="shared" si="7"/>
        <v>#REF!</v>
      </c>
      <c r="W14" s="473" t="e">
        <f t="shared" si="8"/>
        <v>#REF!</v>
      </c>
      <c r="X14" s="473" t="e">
        <f t="shared" si="9"/>
        <v>#REF!</v>
      </c>
      <c r="Y14" s="473" t="e">
        <f t="shared" si="10"/>
        <v>#REF!</v>
      </c>
      <c r="Z14" s="474" t="e">
        <f t="shared" ca="1" si="11"/>
        <v>#NAME?</v>
      </c>
      <c r="AA14" s="350"/>
      <c r="AB14" s="350"/>
      <c r="AC14" s="350"/>
      <c r="AD14" s="350"/>
      <c r="AE14" s="350"/>
      <c r="AF14" s="350"/>
      <c r="AG14" s="350"/>
      <c r="AH14" s="350"/>
      <c r="AI14" s="350"/>
      <c r="AJ14" s="4" t="e">
        <f t="shared" ca="1" si="5"/>
        <v>#REF!</v>
      </c>
    </row>
    <row r="15" spans="1:38" s="4" customFormat="1" x14ac:dyDescent="0.2">
      <c r="A15" s="161" t="s">
        <v>118</v>
      </c>
      <c r="B15" s="433" t="s">
        <v>473</v>
      </c>
      <c r="C15" s="562">
        <v>529.40944881889766</v>
      </c>
      <c r="D15" s="211"/>
      <c r="E15" s="165">
        <v>29.7</v>
      </c>
      <c r="F15" s="165">
        <v>0</v>
      </c>
      <c r="G15" s="270">
        <v>1600</v>
      </c>
      <c r="H15" s="270">
        <v>119.25</v>
      </c>
      <c r="I15" s="212"/>
      <c r="J15" s="276">
        <v>0</v>
      </c>
      <c r="K15" s="271">
        <v>104.68</v>
      </c>
      <c r="L15" s="213"/>
      <c r="M15" s="467">
        <f t="shared" si="0"/>
        <v>1748.95</v>
      </c>
      <c r="N15" s="467" t="e">
        <f t="shared" si="1"/>
        <v>#REF!</v>
      </c>
      <c r="O15" s="213"/>
      <c r="P15" s="469" t="e">
        <f>MAX($P$5:$Q$5)+IF($B$2="mil",1,0.0254)*DDR2Specs!$B$9</f>
        <v>#REF!</v>
      </c>
      <c r="Q15" s="469" t="e">
        <f>MIN($P$5:$Q$5)+IF($B$2="mil",1,0.0254)*DDR2Specs!$C$9</f>
        <v>#REF!</v>
      </c>
      <c r="R15" s="470" t="e">
        <f t="shared" si="2"/>
        <v>#REF!</v>
      </c>
      <c r="S15" s="471" t="e">
        <f t="shared" si="3"/>
        <v>#REF!</v>
      </c>
      <c r="T15" s="472" t="e">
        <f t="shared" si="6"/>
        <v>#REF!</v>
      </c>
      <c r="U15" s="473" t="e">
        <f t="shared" si="4"/>
        <v>#REF!</v>
      </c>
      <c r="V15" s="473" t="e">
        <f t="shared" si="7"/>
        <v>#REF!</v>
      </c>
      <c r="W15" s="473" t="e">
        <f t="shared" si="8"/>
        <v>#REF!</v>
      </c>
      <c r="X15" s="473" t="e">
        <f t="shared" si="9"/>
        <v>#REF!</v>
      </c>
      <c r="Y15" s="473" t="e">
        <f t="shared" si="10"/>
        <v>#REF!</v>
      </c>
      <c r="Z15" s="474" t="e">
        <f t="shared" ca="1" si="11"/>
        <v>#NAME?</v>
      </c>
      <c r="AA15" s="350"/>
      <c r="AB15" s="350"/>
      <c r="AC15" s="350"/>
      <c r="AD15" s="350"/>
      <c r="AE15" s="350"/>
      <c r="AF15" s="350"/>
      <c r="AG15" s="350"/>
      <c r="AH15" s="350"/>
      <c r="AI15" s="350"/>
      <c r="AJ15" s="4" t="e">
        <f t="shared" ca="1" si="5"/>
        <v>#REF!</v>
      </c>
    </row>
    <row r="16" spans="1:38" s="4" customFormat="1" x14ac:dyDescent="0.2">
      <c r="A16" s="161" t="s">
        <v>120</v>
      </c>
      <c r="B16" s="433" t="s">
        <v>358</v>
      </c>
      <c r="C16" s="562">
        <v>442.40157480314963</v>
      </c>
      <c r="D16" s="211"/>
      <c r="E16" s="165">
        <v>29.7</v>
      </c>
      <c r="F16" s="165">
        <v>0</v>
      </c>
      <c r="G16" s="270">
        <v>1600</v>
      </c>
      <c r="H16" s="270">
        <v>155.77000000000001</v>
      </c>
      <c r="I16" s="212"/>
      <c r="J16" s="276">
        <v>0</v>
      </c>
      <c r="K16" s="271">
        <v>83.15</v>
      </c>
      <c r="L16" s="213"/>
      <c r="M16" s="467">
        <f t="shared" si="0"/>
        <v>1785.47</v>
      </c>
      <c r="N16" s="467" t="e">
        <f t="shared" si="1"/>
        <v>#REF!</v>
      </c>
      <c r="O16" s="213"/>
      <c r="P16" s="469" t="e">
        <f>MAX($P$5:$Q$5)+IF($B$2="mil",1,0.0254)*DDR2Specs!$B$9</f>
        <v>#REF!</v>
      </c>
      <c r="Q16" s="469" t="e">
        <f>MIN($P$5:$Q$5)+IF($B$2="mil",1,0.0254)*DDR2Specs!$C$9</f>
        <v>#REF!</v>
      </c>
      <c r="R16" s="470" t="e">
        <f t="shared" si="2"/>
        <v>#REF!</v>
      </c>
      <c r="S16" s="471" t="e">
        <f t="shared" si="3"/>
        <v>#REF!</v>
      </c>
      <c r="T16" s="472" t="e">
        <f t="shared" si="6"/>
        <v>#REF!</v>
      </c>
      <c r="U16" s="473" t="e">
        <f t="shared" si="4"/>
        <v>#REF!</v>
      </c>
      <c r="V16" s="473" t="e">
        <f t="shared" si="7"/>
        <v>#REF!</v>
      </c>
      <c r="W16" s="473" t="e">
        <f t="shared" si="8"/>
        <v>#REF!</v>
      </c>
      <c r="X16" s="473" t="e">
        <f t="shared" si="9"/>
        <v>#REF!</v>
      </c>
      <c r="Y16" s="473" t="e">
        <f t="shared" si="10"/>
        <v>#REF!</v>
      </c>
      <c r="Z16" s="474" t="e">
        <f t="shared" ca="1" si="11"/>
        <v>#NAME?</v>
      </c>
      <c r="AA16" s="350"/>
      <c r="AB16" s="350"/>
      <c r="AC16" s="350"/>
      <c r="AD16" s="350"/>
      <c r="AE16" s="350"/>
      <c r="AF16" s="350"/>
      <c r="AG16" s="350"/>
      <c r="AH16" s="350"/>
      <c r="AI16" s="350"/>
      <c r="AJ16" s="4" t="e">
        <f t="shared" ca="1" si="5"/>
        <v>#REF!</v>
      </c>
    </row>
    <row r="17" spans="1:38" s="4" customFormat="1" x14ac:dyDescent="0.2">
      <c r="A17" s="161" t="s">
        <v>122</v>
      </c>
      <c r="B17" s="433" t="s">
        <v>97</v>
      </c>
      <c r="C17" s="562">
        <v>397.71653543307087</v>
      </c>
      <c r="D17" s="211"/>
      <c r="E17" s="165">
        <v>29.7</v>
      </c>
      <c r="F17" s="165">
        <v>0</v>
      </c>
      <c r="G17" s="270">
        <v>1700</v>
      </c>
      <c r="H17" s="270">
        <v>58</v>
      </c>
      <c r="I17" s="212"/>
      <c r="J17" s="276">
        <v>0</v>
      </c>
      <c r="K17" s="271">
        <v>128.94999999999999</v>
      </c>
      <c r="L17" s="213"/>
      <c r="M17" s="467">
        <f t="shared" si="0"/>
        <v>1787.7</v>
      </c>
      <c r="N17" s="467" t="e">
        <f t="shared" si="1"/>
        <v>#REF!</v>
      </c>
      <c r="O17" s="213"/>
      <c r="P17" s="469" t="e">
        <f>MAX($P$5:$Q$5)+IF($B$2="mil",1,0.0254)*DDR2Specs!$B$9</f>
        <v>#REF!</v>
      </c>
      <c r="Q17" s="469" t="e">
        <f>MIN($P$5:$Q$5)+IF($B$2="mil",1,0.0254)*DDR2Specs!$C$9</f>
        <v>#REF!</v>
      </c>
      <c r="R17" s="470" t="e">
        <f t="shared" si="2"/>
        <v>#REF!</v>
      </c>
      <c r="S17" s="471" t="e">
        <f t="shared" si="3"/>
        <v>#REF!</v>
      </c>
      <c r="T17" s="472" t="e">
        <f t="shared" si="6"/>
        <v>#REF!</v>
      </c>
      <c r="U17" s="473" t="e">
        <f t="shared" si="4"/>
        <v>#REF!</v>
      </c>
      <c r="V17" s="473" t="e">
        <f t="shared" si="7"/>
        <v>#REF!</v>
      </c>
      <c r="W17" s="473" t="e">
        <f t="shared" si="8"/>
        <v>#REF!</v>
      </c>
      <c r="X17" s="473" t="e">
        <f t="shared" si="9"/>
        <v>#REF!</v>
      </c>
      <c r="Y17" s="473" t="e">
        <f t="shared" si="10"/>
        <v>#REF!</v>
      </c>
      <c r="Z17" s="474" t="e">
        <f t="shared" ca="1" si="11"/>
        <v>#NAME?</v>
      </c>
      <c r="AA17" s="350"/>
      <c r="AB17" s="350"/>
      <c r="AC17" s="350"/>
      <c r="AD17" s="350"/>
      <c r="AE17" s="350"/>
      <c r="AF17" s="350"/>
      <c r="AG17" s="350"/>
      <c r="AH17" s="350"/>
      <c r="AI17" s="350"/>
      <c r="AJ17" s="4" t="e">
        <f t="shared" ca="1" si="5"/>
        <v>#REF!</v>
      </c>
    </row>
    <row r="18" spans="1:38" s="4" customFormat="1" x14ac:dyDescent="0.2">
      <c r="A18" s="161" t="s">
        <v>123</v>
      </c>
      <c r="B18" s="433" t="s">
        <v>474</v>
      </c>
      <c r="C18" s="562">
        <v>543.54330708661416</v>
      </c>
      <c r="D18" s="211"/>
      <c r="E18" s="165">
        <v>29.7</v>
      </c>
      <c r="F18" s="165">
        <v>0</v>
      </c>
      <c r="G18" s="270">
        <v>1600</v>
      </c>
      <c r="H18" s="270">
        <v>82.56</v>
      </c>
      <c r="I18" s="212"/>
      <c r="J18" s="276">
        <v>0</v>
      </c>
      <c r="K18" s="271">
        <v>121.39</v>
      </c>
      <c r="L18" s="213"/>
      <c r="M18" s="467">
        <f t="shared" si="0"/>
        <v>1712.26</v>
      </c>
      <c r="N18" s="467" t="e">
        <f t="shared" si="1"/>
        <v>#REF!</v>
      </c>
      <c r="O18" s="213"/>
      <c r="P18" s="469" t="e">
        <f>MAX($P$5:$Q$5)+IF($B$2="mil",1,0.0254)*DDR2Specs!$B$9</f>
        <v>#REF!</v>
      </c>
      <c r="Q18" s="469" t="e">
        <f>MIN($P$5:$Q$5)+IF($B$2="mil",1,0.0254)*DDR2Specs!$C$9</f>
        <v>#REF!</v>
      </c>
      <c r="R18" s="470" t="e">
        <f t="shared" si="2"/>
        <v>#REF!</v>
      </c>
      <c r="S18" s="471" t="e">
        <f t="shared" si="3"/>
        <v>#REF!</v>
      </c>
      <c r="T18" s="472" t="e">
        <f t="shared" si="6"/>
        <v>#REF!</v>
      </c>
      <c r="U18" s="473" t="e">
        <f t="shared" si="4"/>
        <v>#REF!</v>
      </c>
      <c r="V18" s="473" t="e">
        <f t="shared" si="7"/>
        <v>#REF!</v>
      </c>
      <c r="W18" s="473" t="e">
        <f t="shared" si="8"/>
        <v>#REF!</v>
      </c>
      <c r="X18" s="473" t="e">
        <f t="shared" si="9"/>
        <v>#REF!</v>
      </c>
      <c r="Y18" s="473" t="e">
        <f t="shared" si="10"/>
        <v>#REF!</v>
      </c>
      <c r="Z18" s="474" t="e">
        <f t="shared" ca="1" si="11"/>
        <v>#NAME?</v>
      </c>
      <c r="AA18" s="350"/>
      <c r="AB18" s="350"/>
      <c r="AC18" s="350"/>
      <c r="AD18" s="350"/>
      <c r="AE18" s="350"/>
      <c r="AF18" s="350"/>
      <c r="AG18" s="350"/>
      <c r="AH18" s="350"/>
      <c r="AI18" s="350"/>
      <c r="AJ18" s="4" t="e">
        <f t="shared" ca="1" si="5"/>
        <v>#REF!</v>
      </c>
    </row>
    <row r="19" spans="1:38" s="4" customFormat="1" x14ac:dyDescent="0.2">
      <c r="A19" s="161" t="s">
        <v>124</v>
      </c>
      <c r="B19" s="433" t="s">
        <v>475</v>
      </c>
      <c r="C19" s="562">
        <v>492.79527559055117</v>
      </c>
      <c r="D19" s="211"/>
      <c r="E19" s="165">
        <v>29.7</v>
      </c>
      <c r="F19" s="165">
        <v>0</v>
      </c>
      <c r="G19" s="270">
        <v>1600</v>
      </c>
      <c r="H19" s="270">
        <v>119.05</v>
      </c>
      <c r="I19" s="212"/>
      <c r="J19" s="276">
        <v>0</v>
      </c>
      <c r="K19" s="271">
        <v>135.99</v>
      </c>
      <c r="L19" s="213"/>
      <c r="M19" s="467">
        <f t="shared" si="0"/>
        <v>1748.75</v>
      </c>
      <c r="N19" s="467" t="e">
        <f t="shared" si="1"/>
        <v>#REF!</v>
      </c>
      <c r="O19" s="213"/>
      <c r="P19" s="469" t="e">
        <f>MAX($P$5:$Q$5)+IF($B$2="mil",1,0.0254)*DDR2Specs!$B$9</f>
        <v>#REF!</v>
      </c>
      <c r="Q19" s="469" t="e">
        <f>MIN($P$5:$Q$5)+IF($B$2="mil",1,0.0254)*DDR2Specs!$C$9</f>
        <v>#REF!</v>
      </c>
      <c r="R19" s="470" t="e">
        <f t="shared" si="2"/>
        <v>#REF!</v>
      </c>
      <c r="S19" s="471" t="e">
        <f t="shared" si="3"/>
        <v>#REF!</v>
      </c>
      <c r="T19" s="472" t="e">
        <f t="shared" si="6"/>
        <v>#REF!</v>
      </c>
      <c r="U19" s="473" t="e">
        <f t="shared" si="4"/>
        <v>#REF!</v>
      </c>
      <c r="V19" s="473" t="e">
        <f t="shared" si="7"/>
        <v>#REF!</v>
      </c>
      <c r="W19" s="473" t="e">
        <f t="shared" si="8"/>
        <v>#REF!</v>
      </c>
      <c r="X19" s="473" t="e">
        <f t="shared" si="9"/>
        <v>#REF!</v>
      </c>
      <c r="Y19" s="473" t="e">
        <f t="shared" si="10"/>
        <v>#REF!</v>
      </c>
      <c r="Z19" s="474" t="e">
        <f t="shared" ca="1" si="11"/>
        <v>#NAME?</v>
      </c>
      <c r="AA19" s="350"/>
      <c r="AB19" s="350"/>
      <c r="AC19" s="350"/>
      <c r="AD19" s="350"/>
      <c r="AE19" s="350"/>
      <c r="AF19" s="350"/>
      <c r="AG19" s="350"/>
      <c r="AH19" s="350"/>
      <c r="AI19" s="350"/>
      <c r="AJ19" s="4" t="e">
        <f t="shared" ca="1" si="5"/>
        <v>#REF!</v>
      </c>
    </row>
    <row r="20" spans="1:38" s="4" customFormat="1" x14ac:dyDescent="0.2">
      <c r="A20" s="161" t="s">
        <v>126</v>
      </c>
      <c r="B20" s="433" t="s">
        <v>355</v>
      </c>
      <c r="C20" s="562">
        <v>514.48818897637796</v>
      </c>
      <c r="D20" s="211"/>
      <c r="E20" s="165">
        <v>29.7</v>
      </c>
      <c r="F20" s="165">
        <v>0</v>
      </c>
      <c r="G20" s="270">
        <v>1600</v>
      </c>
      <c r="H20" s="270">
        <v>58.41</v>
      </c>
      <c r="I20" s="212"/>
      <c r="J20" s="276">
        <v>0</v>
      </c>
      <c r="K20" s="271">
        <v>124.92</v>
      </c>
      <c r="L20" s="213"/>
      <c r="M20" s="467">
        <f t="shared" si="0"/>
        <v>1688.1100000000001</v>
      </c>
      <c r="N20" s="467" t="e">
        <f t="shared" si="1"/>
        <v>#REF!</v>
      </c>
      <c r="O20" s="213"/>
      <c r="P20" s="469" t="e">
        <f>MAX($P$5:$Q$5)+IF($B$2="mil",1,0.0254)*DDR2Specs!$B$9</f>
        <v>#REF!</v>
      </c>
      <c r="Q20" s="469" t="e">
        <f>MIN($P$5:$Q$5)+IF($B$2="mil",1,0.0254)*DDR2Specs!$C$9</f>
        <v>#REF!</v>
      </c>
      <c r="R20" s="470" t="e">
        <f t="shared" si="2"/>
        <v>#REF!</v>
      </c>
      <c r="S20" s="471" t="e">
        <f t="shared" si="3"/>
        <v>#REF!</v>
      </c>
      <c r="T20" s="472" t="e">
        <f t="shared" si="6"/>
        <v>#REF!</v>
      </c>
      <c r="U20" s="473" t="e">
        <f t="shared" si="4"/>
        <v>#REF!</v>
      </c>
      <c r="V20" s="473" t="e">
        <f t="shared" si="7"/>
        <v>#REF!</v>
      </c>
      <c r="W20" s="473" t="e">
        <f t="shared" si="8"/>
        <v>#REF!</v>
      </c>
      <c r="X20" s="473" t="e">
        <f t="shared" si="9"/>
        <v>#REF!</v>
      </c>
      <c r="Y20" s="473" t="e">
        <f t="shared" si="10"/>
        <v>#REF!</v>
      </c>
      <c r="Z20" s="474" t="e">
        <f t="shared" ca="1" si="11"/>
        <v>#NAME?</v>
      </c>
      <c r="AA20" s="350"/>
      <c r="AB20" s="350"/>
      <c r="AC20" s="350"/>
      <c r="AD20" s="350"/>
      <c r="AE20" s="350"/>
      <c r="AF20" s="350"/>
      <c r="AG20" s="350"/>
      <c r="AH20" s="350"/>
      <c r="AI20" s="350"/>
      <c r="AJ20" s="4" t="e">
        <f t="shared" ca="1" si="5"/>
        <v>#REF!</v>
      </c>
    </row>
    <row r="21" spans="1:38" s="4" customFormat="1" ht="11.25" x14ac:dyDescent="0.2">
      <c r="A21" s="415" t="s">
        <v>287</v>
      </c>
      <c r="B21" s="134"/>
      <c r="C21" s="566"/>
      <c r="D21" s="155"/>
      <c r="E21" s="244"/>
      <c r="F21" s="244"/>
      <c r="G21" s="272"/>
      <c r="H21" s="272"/>
      <c r="I21" s="156"/>
      <c r="J21" s="157"/>
      <c r="K21" s="244"/>
      <c r="L21" s="156"/>
      <c r="M21" s="249"/>
      <c r="N21" s="249"/>
      <c r="O21" s="155"/>
      <c r="P21" s="155"/>
      <c r="Q21" s="476"/>
      <c r="R21" s="477"/>
      <c r="S21" s="477"/>
      <c r="T21" s="155"/>
      <c r="U21" s="155"/>
      <c r="V21" s="155"/>
      <c r="W21" s="155"/>
      <c r="X21" s="155"/>
      <c r="Y21" s="155"/>
      <c r="Z21" s="155"/>
      <c r="AA21" s="416"/>
      <c r="AB21" s="416"/>
      <c r="AC21" s="416"/>
      <c r="AD21" s="416"/>
      <c r="AE21" s="416"/>
      <c r="AF21" s="416"/>
      <c r="AG21" s="416"/>
      <c r="AH21" s="416"/>
      <c r="AI21" s="416"/>
    </row>
    <row r="22" spans="1:38" s="4" customFormat="1" x14ac:dyDescent="0.2">
      <c r="A22" s="161" t="s">
        <v>128</v>
      </c>
      <c r="B22" s="433" t="s">
        <v>81</v>
      </c>
      <c r="C22" s="562">
        <v>428.58267716535431</v>
      </c>
      <c r="D22" s="211"/>
      <c r="E22" s="165">
        <v>29.7</v>
      </c>
      <c r="F22" s="165">
        <v>0</v>
      </c>
      <c r="G22" s="270">
        <v>1600</v>
      </c>
      <c r="H22" s="270">
        <v>101.4</v>
      </c>
      <c r="I22" s="212"/>
      <c r="J22" s="276">
        <v>0</v>
      </c>
      <c r="K22" s="271">
        <v>78.7</v>
      </c>
      <c r="L22" s="213"/>
      <c r="M22" s="467">
        <f xml:space="preserve"> E22+F22+G22+H22</f>
        <v>1731.1000000000001</v>
      </c>
      <c r="N22" s="467" t="e">
        <f>IF($B$2="mil",1,0.0254)*C22+ M22</f>
        <v>#REF!</v>
      </c>
      <c r="O22" s="213"/>
      <c r="P22" s="469" t="e">
        <f>MAX($P$5:$Q$5)+IF($B$2="mil",1,0.0254)*DDR2Specs!$B$9</f>
        <v>#REF!</v>
      </c>
      <c r="Q22" s="469" t="e">
        <f>MIN($P$5:$Q$5)+IF($B$2="mil",1,0.0254)*DDR2Specs!$C$9</f>
        <v>#REF!</v>
      </c>
      <c r="R22" s="470" t="e">
        <f>IF($N22&lt;$P22,$P22-$N22,"Pass")</f>
        <v>#REF!</v>
      </c>
      <c r="S22" s="471" t="e">
        <f>IF($N22&gt;$Q22,$N22-$Q22,"Pass")</f>
        <v>#REF!</v>
      </c>
      <c r="T22" s="472" t="e">
        <f>IF($E22&lt;=IF($B$2="mil",1,0.0254)*50,"Pass",IF($B$2="mil",1,0.0254)*50-$E22)</f>
        <v>#REF!</v>
      </c>
      <c r="U22" s="473" t="e">
        <f>IF($F22&lt;=IF($B$2="mil",1,0.0254)*500,"Pass",IF($B$2="mil",1,0.0254)*500-$F22)</f>
        <v>#REF!</v>
      </c>
      <c r="V22" s="473" t="e">
        <f t="shared" si="7"/>
        <v>#REF!</v>
      </c>
      <c r="W22" s="473" t="e">
        <f>IF(AND($M22&gt;=IF($B$2="mil",1,0.0254)*500, $M22&lt;=IF($B$2="mil",1,0.0254)*4500),"Pass",IF($B$2="mil",1,0.0254)*4500-$M22)</f>
        <v>#REF!</v>
      </c>
      <c r="X22" s="473" t="e">
        <f t="shared" si="9"/>
        <v>#REF!</v>
      </c>
      <c r="Y22" s="473" t="e">
        <f t="shared" si="10"/>
        <v>#REF!</v>
      </c>
      <c r="Z22" s="474" t="e">
        <f ca="1">CheckLength2(IF($B$2="mil",1,0.0254)*1500,J22,K22,0)</f>
        <v>#NAME?</v>
      </c>
      <c r="AA22" s="350"/>
      <c r="AB22" s="350"/>
      <c r="AC22" s="350"/>
      <c r="AD22" s="350"/>
      <c r="AE22" s="350"/>
      <c r="AF22" s="350"/>
      <c r="AG22" s="350"/>
      <c r="AH22" s="350"/>
      <c r="AI22" s="350"/>
      <c r="AJ22" s="4" t="e">
        <f ca="1">IF(AND(R22="Pass",S22="Pass",T22="Pass",U22="Pass",V22="Pass",W22="Pass",X22="Pass",Y22="Pass",Z22="Pass"),"Pass","Fail")</f>
        <v>#REF!</v>
      </c>
    </row>
    <row r="23" spans="1:38" s="4" customFormat="1" x14ac:dyDescent="0.2">
      <c r="A23" s="215" t="s">
        <v>130</v>
      </c>
      <c r="B23" s="433" t="s">
        <v>119</v>
      </c>
      <c r="C23" s="562">
        <v>331.69291338582678</v>
      </c>
      <c r="D23" s="211"/>
      <c r="E23" s="165">
        <v>29.7</v>
      </c>
      <c r="F23" s="165">
        <v>0</v>
      </c>
      <c r="G23" s="270">
        <v>1700</v>
      </c>
      <c r="H23" s="270">
        <v>61.6</v>
      </c>
      <c r="I23" s="212"/>
      <c r="J23" s="276">
        <v>0</v>
      </c>
      <c r="K23" s="271">
        <v>81.19</v>
      </c>
      <c r="L23" s="213"/>
      <c r="M23" s="467">
        <f xml:space="preserve"> E23+F23+G23+H23</f>
        <v>1791.3</v>
      </c>
      <c r="N23" s="467" t="e">
        <f>IF($B$2="mil",1,0.0254)*C23+ M23</f>
        <v>#REF!</v>
      </c>
      <c r="O23" s="213"/>
      <c r="P23" s="469" t="e">
        <f>MAX($P$5:$Q$5)+IF($B$2="mil",1,0.0254)*DDR2Specs!$B$9</f>
        <v>#REF!</v>
      </c>
      <c r="Q23" s="469" t="e">
        <f>MIN($P$5:$Q$5)+IF($B$2="mil",1,0.0254)*DDR2Specs!$C$9</f>
        <v>#REF!</v>
      </c>
      <c r="R23" s="470" t="e">
        <f>IF($N23&lt;$P23,$P23-$N23,"Pass")</f>
        <v>#REF!</v>
      </c>
      <c r="S23" s="471" t="e">
        <f>IF($N23&gt;$Q23,$N23-$Q23,"Pass")</f>
        <v>#REF!</v>
      </c>
      <c r="T23" s="472" t="e">
        <f>IF($E23&lt;=IF($B$2="mil",1,0.0254)*50,"Pass",IF($B$2="mil",1,0.0254)*50-$E23)</f>
        <v>#REF!</v>
      </c>
      <c r="U23" s="473" t="e">
        <f>IF($F23&lt;=IF($B$2="mil",1,0.0254)*500,"Pass",IF($B$2="mil",1,0.0254)*500-$F23)</f>
        <v>#REF!</v>
      </c>
      <c r="V23" s="473" t="e">
        <f t="shared" si="7"/>
        <v>#REF!</v>
      </c>
      <c r="W23" s="473" t="e">
        <f t="shared" ref="W23:W28" si="12">IF(AND($M23&gt;=IF($B$2="mil",1,0.0254)*500, $M23&lt;=IF($B$2="mil",1,0.0254)*4500),"Pass",IF($B$2="mil",1,0.0254)*4500-$M23)</f>
        <v>#REF!</v>
      </c>
      <c r="X23" s="473" t="e">
        <f t="shared" si="9"/>
        <v>#REF!</v>
      </c>
      <c r="Y23" s="473" t="e">
        <f t="shared" si="10"/>
        <v>#REF!</v>
      </c>
      <c r="Z23" s="474" t="e">
        <f ca="1">CheckLength2(IF($B$2="mil",1,0.0254)*1500,J23,K23,0)</f>
        <v>#NAME?</v>
      </c>
      <c r="AA23" s="350"/>
      <c r="AB23" s="350"/>
      <c r="AC23" s="350"/>
      <c r="AD23" s="350"/>
      <c r="AE23" s="350"/>
      <c r="AF23" s="350"/>
      <c r="AG23" s="350"/>
      <c r="AH23" s="350"/>
      <c r="AI23" s="350"/>
      <c r="AJ23" s="4" t="e">
        <f ca="1">IF(AND(R23="Pass",S23="Pass",T23="Pass",U23="Pass",V23="Pass",W23="Pass",X23="Pass",Y23="Pass",Z23="Pass"),"Pass","Fail")</f>
        <v>#REF!</v>
      </c>
    </row>
    <row r="24" spans="1:38" s="4" customFormat="1" x14ac:dyDescent="0.2">
      <c r="A24" s="215" t="s">
        <v>131</v>
      </c>
      <c r="B24" s="433" t="s">
        <v>400</v>
      </c>
      <c r="C24" s="562">
        <v>384.5275590551181</v>
      </c>
      <c r="D24" s="211"/>
      <c r="E24" s="165">
        <v>29.7</v>
      </c>
      <c r="F24" s="165">
        <v>0</v>
      </c>
      <c r="G24" s="270">
        <v>1600</v>
      </c>
      <c r="H24" s="270">
        <v>161.81</v>
      </c>
      <c r="I24" s="212"/>
      <c r="J24" s="276">
        <v>0</v>
      </c>
      <c r="K24" s="271">
        <v>86.15</v>
      </c>
      <c r="L24" s="213"/>
      <c r="M24" s="467">
        <f xml:space="preserve"> E24+F24+G24+H24</f>
        <v>1791.51</v>
      </c>
      <c r="N24" s="467" t="e">
        <f>IF($B$2="mil",1,0.0254)*C24+ M24</f>
        <v>#REF!</v>
      </c>
      <c r="O24" s="213"/>
      <c r="P24" s="469" t="e">
        <f>MAX($P$5:$Q$5)+IF($B$2="mil",1,0.0254)*DDR2Specs!$B$9</f>
        <v>#REF!</v>
      </c>
      <c r="Q24" s="469" t="e">
        <f>MIN($P$5:$Q$5)+IF($B$2="mil",1,0.0254)*DDR2Specs!$C$9</f>
        <v>#REF!</v>
      </c>
      <c r="R24" s="470" t="e">
        <f>IF($N24&lt;$P24,$P24-$N24,"Pass")</f>
        <v>#REF!</v>
      </c>
      <c r="S24" s="471" t="e">
        <f>IF($N24&gt;$Q24,$N24-$Q24,"Pass")</f>
        <v>#REF!</v>
      </c>
      <c r="T24" s="472" t="e">
        <f>IF($E24&lt;=IF($B$2="mil",1,0.0254)*50,"Pass",IF($B$2="mil",1,0.0254)*50-$E24)</f>
        <v>#REF!</v>
      </c>
      <c r="U24" s="473" t="e">
        <f>IF($F24&lt;=IF($B$2="mil",1,0.0254)*500,"Pass",IF($B$2="mil",1,0.0254)*500-$F24)</f>
        <v>#REF!</v>
      </c>
      <c r="V24" s="473" t="e">
        <f t="shared" si="7"/>
        <v>#REF!</v>
      </c>
      <c r="W24" s="473" t="e">
        <f t="shared" si="12"/>
        <v>#REF!</v>
      </c>
      <c r="X24" s="473" t="e">
        <f t="shared" si="9"/>
        <v>#REF!</v>
      </c>
      <c r="Y24" s="473" t="e">
        <f t="shared" si="10"/>
        <v>#REF!</v>
      </c>
      <c r="Z24" s="474" t="e">
        <f ca="1">CheckLength2(IF($B$2="mil",1,0.0254)*1500,J24,K24,0)</f>
        <v>#NAME?</v>
      </c>
      <c r="AA24" s="350"/>
      <c r="AB24" s="350"/>
      <c r="AC24" s="350"/>
      <c r="AD24" s="350"/>
      <c r="AE24" s="350"/>
      <c r="AF24" s="350"/>
      <c r="AG24" s="350"/>
      <c r="AH24" s="350"/>
      <c r="AI24" s="350"/>
      <c r="AJ24" s="4" t="e">
        <f ca="1">IF(AND(R24="Pass",S24="Pass",T24="Pass",U24="Pass",V24="Pass",W24="Pass",X24="Pass",Y24="Pass",Z24="Pass"),"Pass","Fail")</f>
        <v>#REF!</v>
      </c>
    </row>
    <row r="25" spans="1:38" s="218" customFormat="1" ht="12" x14ac:dyDescent="0.2">
      <c r="A25" s="415" t="s">
        <v>288</v>
      </c>
      <c r="B25" s="134"/>
      <c r="C25" s="567"/>
      <c r="D25" s="134"/>
      <c r="E25" s="245"/>
      <c r="F25" s="245"/>
      <c r="G25" s="274"/>
      <c r="H25" s="274"/>
      <c r="I25" s="134"/>
      <c r="J25" s="134"/>
      <c r="K25" s="278"/>
      <c r="L25" s="134"/>
      <c r="M25" s="250"/>
      <c r="N25" s="250"/>
      <c r="O25" s="134"/>
      <c r="P25" s="134"/>
      <c r="Q25" s="134"/>
      <c r="R25" s="250"/>
      <c r="S25" s="250"/>
      <c r="T25" s="134"/>
      <c r="U25" s="134"/>
      <c r="V25" s="155"/>
      <c r="W25" s="134"/>
      <c r="X25" s="155"/>
      <c r="Y25" s="155"/>
      <c r="Z25" s="155"/>
    </row>
    <row r="26" spans="1:38" s="4" customFormat="1" x14ac:dyDescent="0.2">
      <c r="A26" s="161" t="s">
        <v>132</v>
      </c>
      <c r="B26" s="433" t="s">
        <v>493</v>
      </c>
      <c r="C26" s="562">
        <v>462.71653543307087</v>
      </c>
      <c r="D26" s="211"/>
      <c r="E26" s="165">
        <v>29.7</v>
      </c>
      <c r="F26" s="165">
        <v>0</v>
      </c>
      <c r="G26" s="270">
        <v>1600</v>
      </c>
      <c r="H26" s="270">
        <v>107.82</v>
      </c>
      <c r="I26" s="212"/>
      <c r="J26" s="276">
        <v>0</v>
      </c>
      <c r="K26" s="271">
        <v>47.81</v>
      </c>
      <c r="L26" s="213"/>
      <c r="M26" s="467">
        <f xml:space="preserve"> E26+F26+G26+H26</f>
        <v>1737.52</v>
      </c>
      <c r="N26" s="467" t="e">
        <f>IF($B$2="mil",1,0.0254)*C26+ M26</f>
        <v>#REF!</v>
      </c>
      <c r="O26" s="213"/>
      <c r="P26" s="469" t="e">
        <f>MAX($P$5:$Q$5)+IF($B$2="mil",1,0.0254)*DDR2Specs!$B$9</f>
        <v>#REF!</v>
      </c>
      <c r="Q26" s="469" t="e">
        <f>MIN($P$5:$Q$5)+IF($B$2="mil",1,0.0254)*DDR2Specs!$C$9</f>
        <v>#REF!</v>
      </c>
      <c r="R26" s="470" t="e">
        <f>IF($N26&lt;$P26,$P26-$N26,"Pass")</f>
        <v>#REF!</v>
      </c>
      <c r="S26" s="471" t="e">
        <f>IF($N26&gt;$Q26,$N26-$Q26,"Pass")</f>
        <v>#REF!</v>
      </c>
      <c r="T26" s="472" t="e">
        <f>IF($E26&lt;=IF($B$2="mil",1,0.0254)*50,"Pass",IF($B$2="mil",1,0.0254)*50-$E26)</f>
        <v>#REF!</v>
      </c>
      <c r="U26" s="473" t="e">
        <f>IF($F26&lt;=IF($B$2="mil",1,0.0254)*500,"Pass",IF($B$2="mil",1,0.0254)*500-$F26)</f>
        <v>#REF!</v>
      </c>
      <c r="V26" s="473" t="e">
        <f t="shared" si="7"/>
        <v>#REF!</v>
      </c>
      <c r="W26" s="473" t="e">
        <f t="shared" si="12"/>
        <v>#REF!</v>
      </c>
      <c r="X26" s="473" t="e">
        <f t="shared" si="9"/>
        <v>#REF!</v>
      </c>
      <c r="Y26" s="473" t="e">
        <f t="shared" si="10"/>
        <v>#REF!</v>
      </c>
      <c r="Z26" s="474" t="e">
        <f ca="1">CheckLength2(IF($B$2="mil",1,0.0254)*1500,J26,K26,0)</f>
        <v>#NAME?</v>
      </c>
      <c r="AA26" s="350"/>
      <c r="AB26" s="350"/>
      <c r="AC26" s="350"/>
      <c r="AD26" s="350"/>
      <c r="AE26" s="350"/>
      <c r="AF26" s="350"/>
      <c r="AG26" s="350"/>
      <c r="AH26" s="350"/>
      <c r="AI26" s="350"/>
      <c r="AJ26" s="4" t="e">
        <f ca="1">IF(AND(R26="Pass",S26="Pass",T26="Pass",U26="Pass",V26="Pass",W26="Pass",X26="Pass",Y26="Pass",Z26="Pass"),"Pass","Fail")</f>
        <v>#REF!</v>
      </c>
    </row>
    <row r="27" spans="1:38" s="4" customFormat="1" x14ac:dyDescent="0.2">
      <c r="A27" s="214" t="s">
        <v>134</v>
      </c>
      <c r="B27" s="433" t="s">
        <v>373</v>
      </c>
      <c r="C27" s="562">
        <v>452.16535433070862</v>
      </c>
      <c r="D27" s="211"/>
      <c r="E27" s="165">
        <v>29.7</v>
      </c>
      <c r="F27" s="165">
        <v>0</v>
      </c>
      <c r="G27" s="270">
        <v>1600</v>
      </c>
      <c r="H27" s="270">
        <v>125.94</v>
      </c>
      <c r="I27" s="212"/>
      <c r="J27" s="276">
        <v>0</v>
      </c>
      <c r="K27" s="271">
        <v>36.69</v>
      </c>
      <c r="L27" s="213"/>
      <c r="M27" s="467">
        <f xml:space="preserve"> E27+F27+G27+H27</f>
        <v>1755.64</v>
      </c>
      <c r="N27" s="467" t="e">
        <f>IF($B$2="mil",1,0.0254)*C27+ M27</f>
        <v>#REF!</v>
      </c>
      <c r="O27" s="213"/>
      <c r="P27" s="469" t="e">
        <f>MAX($P$5:$Q$5)+IF($B$2="mil",1,0.0254)*DDR2Specs!$B$9</f>
        <v>#REF!</v>
      </c>
      <c r="Q27" s="469" t="e">
        <f>MIN($P$5:$Q$5)+IF($B$2="mil",1,0.0254)*DDR2Specs!$C$9</f>
        <v>#REF!</v>
      </c>
      <c r="R27" s="470" t="e">
        <f>IF($N27&lt;$P27,$P27-$N27,"Pass")</f>
        <v>#REF!</v>
      </c>
      <c r="S27" s="471" t="e">
        <f>IF($N27&gt;$Q27,$N27-$Q27,"Pass")</f>
        <v>#REF!</v>
      </c>
      <c r="T27" s="472" t="e">
        <f>IF($E27&lt;=IF($B$2="mil",1,0.0254)*50,"Pass",IF($B$2="mil",1,0.0254)*50-$E27)</f>
        <v>#REF!</v>
      </c>
      <c r="U27" s="473" t="e">
        <f>IF($F27&lt;=IF($B$2="mil",1,0.0254)*500,"Pass",IF($B$2="mil",1,0.0254)*500-$F27)</f>
        <v>#REF!</v>
      </c>
      <c r="V27" s="473" t="e">
        <f t="shared" si="7"/>
        <v>#REF!</v>
      </c>
      <c r="W27" s="473" t="e">
        <f t="shared" si="12"/>
        <v>#REF!</v>
      </c>
      <c r="X27" s="473" t="e">
        <f t="shared" si="9"/>
        <v>#REF!</v>
      </c>
      <c r="Y27" s="473" t="e">
        <f t="shared" si="10"/>
        <v>#REF!</v>
      </c>
      <c r="Z27" s="474" t="e">
        <f ca="1">CheckLength2(IF($B$2="mil",1,0.0254)*1500,J27,K27,0)</f>
        <v>#NAME?</v>
      </c>
      <c r="AA27" s="350"/>
      <c r="AB27" s="350"/>
      <c r="AC27" s="350"/>
      <c r="AD27" s="350"/>
      <c r="AE27" s="350"/>
      <c r="AF27" s="350"/>
      <c r="AG27" s="350"/>
      <c r="AH27" s="350"/>
      <c r="AI27" s="350"/>
      <c r="AJ27" s="4" t="e">
        <f ca="1">IF(AND(R27="Pass",S27="Pass",T27="Pass",U27="Pass",V27="Pass",W27="Pass",X27="Pass",Y27="Pass",Z27="Pass"),"Pass","Fail")</f>
        <v>#REF!</v>
      </c>
    </row>
    <row r="28" spans="1:38" s="4" customFormat="1" ht="15" customHeight="1" x14ac:dyDescent="0.3">
      <c r="A28" s="214" t="s">
        <v>136</v>
      </c>
      <c r="B28" s="433" t="s">
        <v>125</v>
      </c>
      <c r="C28" s="562">
        <v>581.1811023622048</v>
      </c>
      <c r="D28" s="211"/>
      <c r="E28" s="165">
        <v>29.7</v>
      </c>
      <c r="F28" s="165">
        <v>0</v>
      </c>
      <c r="G28" s="270">
        <v>1600</v>
      </c>
      <c r="H28" s="270">
        <v>58</v>
      </c>
      <c r="I28" s="212"/>
      <c r="J28" s="276">
        <v>0</v>
      </c>
      <c r="K28" s="271">
        <v>103.63</v>
      </c>
      <c r="L28" s="213"/>
      <c r="M28" s="467">
        <f xml:space="preserve"> E28+F28+G28+H28</f>
        <v>1687.7</v>
      </c>
      <c r="N28" s="467" t="e">
        <f>IF($B$2="mil",1,0.0254)*C28+ M28</f>
        <v>#REF!</v>
      </c>
      <c r="O28" s="213"/>
      <c r="P28" s="479" t="e">
        <f>MAX($P$5:$Q$5)+IF($B$2="mil",1,0.0254)*DDR2Specs!$B$9</f>
        <v>#REF!</v>
      </c>
      <c r="Q28" s="479" t="e">
        <f>MIN($P$5:$Q$5)+IF($B$2="mil",1,0.0254)*DDR2Specs!$C$9</f>
        <v>#REF!</v>
      </c>
      <c r="R28" s="470" t="e">
        <f>IF($N28&lt;$P28,$P28-$N28,"Pass")</f>
        <v>#REF!</v>
      </c>
      <c r="S28" s="471" t="e">
        <f>IF($N28&gt;$Q28,$N28-$Q28,"Pass")</f>
        <v>#REF!</v>
      </c>
      <c r="T28" s="472" t="e">
        <f>IF($E28&lt;=IF($B$2="mil",1,0.0254)*50,"Pass",IF($B$2="mil",1,0.0254)*50-$E28)</f>
        <v>#REF!</v>
      </c>
      <c r="U28" s="473" t="e">
        <f>IF($F28&lt;=IF($B$2="mil",1,0.0254)*500,"Pass",IF($B$2="mil",1,0.0254)*500-$F28)</f>
        <v>#REF!</v>
      </c>
      <c r="V28" s="473" t="e">
        <f t="shared" si="7"/>
        <v>#REF!</v>
      </c>
      <c r="W28" s="473" t="e">
        <f t="shared" si="12"/>
        <v>#REF!</v>
      </c>
      <c r="X28" s="473" t="e">
        <f t="shared" si="9"/>
        <v>#REF!</v>
      </c>
      <c r="Y28" s="473" t="e">
        <f t="shared" si="10"/>
        <v>#REF!</v>
      </c>
      <c r="Z28" s="474" t="e">
        <f ca="1">CheckLength2(IF($B$2="mil",1,0.0254)*1500,J28,K28,0)</f>
        <v>#NAME?</v>
      </c>
      <c r="AA28" s="350"/>
      <c r="AB28" s="350"/>
      <c r="AC28" s="350"/>
      <c r="AD28" s="350"/>
      <c r="AE28" s="350"/>
      <c r="AF28" s="350"/>
      <c r="AG28" s="350"/>
      <c r="AH28" s="350"/>
      <c r="AI28" s="350"/>
      <c r="AJ28" s="4" t="e">
        <f ca="1">IF(AND(R28="Pass",S28="Pass",T28="Pass",U28="Pass",V28="Pass",W28="Pass",X28="Pass",Y28="Pass",Z28="Pass"),"Pass","Fail")</f>
        <v>#REF!</v>
      </c>
      <c r="AL28" s="368"/>
    </row>
    <row r="29" spans="1:38" ht="40.5" customHeight="1" x14ac:dyDescent="0.2">
      <c r="A29" s="46"/>
      <c r="B29" s="46"/>
      <c r="C29" s="569"/>
      <c r="D29" s="46"/>
      <c r="E29" s="46"/>
      <c r="F29" s="47"/>
      <c r="G29" s="46"/>
      <c r="H29" s="46"/>
      <c r="I29" s="46"/>
      <c r="J29" s="46"/>
      <c r="K29" s="46"/>
      <c r="L29" s="46"/>
      <c r="M29" s="46"/>
      <c r="N29" s="46"/>
      <c r="O29" s="105"/>
      <c r="P29" s="105"/>
      <c r="Q29" s="105"/>
      <c r="R29" s="105"/>
      <c r="S29" s="105"/>
      <c r="T29" s="105"/>
      <c r="U29" s="106"/>
      <c r="V29" s="105"/>
      <c r="W29" s="396"/>
      <c r="X29" s="105"/>
      <c r="Y29" s="105"/>
      <c r="Z29" s="279"/>
    </row>
    <row r="30" spans="1:38" s="133" customFormat="1" ht="22.5" x14ac:dyDescent="0.2">
      <c r="A30" s="192" t="s">
        <v>494</v>
      </c>
      <c r="B30" s="123" t="s">
        <v>457</v>
      </c>
      <c r="C30" s="570" t="s">
        <v>70</v>
      </c>
      <c r="D30" s="130"/>
      <c r="E30" s="127" t="e">
        <f>"Escape
Length L0
 ["&amp;$B$2&amp;"]"</f>
        <v>#REF!</v>
      </c>
      <c r="F30" s="127" t="e">
        <f>"Breakout
Length L1
["&amp; $B$2&amp;"]"</f>
        <v>#REF!</v>
      </c>
      <c r="G30" s="127" t="e">
        <f>"Main
Length L2
[" &amp;$B$2&amp; " ]"</f>
        <v>#REF!</v>
      </c>
      <c r="H30" s="127"/>
      <c r="I30" s="129"/>
      <c r="J30" s="129" t="e">
        <f>"Via-to-via (SODIMM-to-Rt) L3 ["&amp;$B$2&amp;"]"</f>
        <v>#REF!</v>
      </c>
      <c r="K30" s="123" t="e">
        <f>"Via-to-Rt
L4 ["&amp;$B$2&amp;"]"</f>
        <v>#REF!</v>
      </c>
      <c r="L30" s="129"/>
      <c r="M30" s="123" t="e">
        <f>"Trace L5 ["&amp;$B$2&amp;"]"</f>
        <v>#REF!</v>
      </c>
      <c r="N30" s="123" t="e">
        <f>"Trace L6-1 ["&amp;$B$2&amp;"]"</f>
        <v>#REF!</v>
      </c>
      <c r="O30" s="123"/>
      <c r="P30" s="123" t="e">
        <f>"Trace L7-1 ["&amp;$B$2&amp;"]"</f>
        <v>#REF!</v>
      </c>
      <c r="Q30" s="123" t="e">
        <f>"Trace L8-1 ["&amp;$B$2&amp;"]"</f>
        <v>#REF!</v>
      </c>
      <c r="R30" s="123" t="e">
        <f>"Total MB Length to U1 (L0+L1+L2+L5+L6-1+L7-1+L8-1) ["&amp;$B$2&amp;"]"</f>
        <v>#REF!</v>
      </c>
      <c r="S30" s="123" t="e">
        <f>"Total Pad to Pin U1 (P1+L0+L1+L2+L5+L6-1+L7-1+L8-1) ["&amp;$B$2&amp;"]"</f>
        <v>#REF!</v>
      </c>
      <c r="T30" s="130" t="e">
        <f>"Target Min Length to U1
["&amp;$B$2&amp;"]"</f>
        <v>#REF!</v>
      </c>
      <c r="U30" s="129" t="e">
        <f>"Target Max Length  to U1 
["&amp;$B$2&amp;"]"</f>
        <v>#REF!</v>
      </c>
      <c r="V30" s="131" t="e">
        <f>"Routed Too Short  to U1 [" &amp;$B$2&amp;"]"</f>
        <v>#REF!</v>
      </c>
      <c r="W30" s="130" t="e">
        <f>"Routed Too Long  to U1 [" &amp;$B$2&amp;"]"</f>
        <v>#REF!</v>
      </c>
      <c r="X30" s="132" t="e">
        <f>"L0 Length Test (&lt;=" &amp; IF($B$2="mil",1,0.0254)*50&amp;$B$2&amp;")"</f>
        <v>#REF!</v>
      </c>
      <c r="Y30" s="132" t="e">
        <f>"L1 Length Test (&lt;=" &amp; IF($B$2="mil",1,0.0254)*500&amp;$B$2&amp;")"</f>
        <v>#REF!</v>
      </c>
      <c r="Z30" s="132" t="e">
        <f>"L3 Length Test (&lt;=" &amp; IF($B$2="mil",1,0.0254)*1000&amp;$B$2&amp;")"</f>
        <v>#REF!</v>
      </c>
      <c r="AA30" s="132" t="e">
        <f>"L4 Length Test (&lt;=" &amp; IF($B$2="mil",1,0.0254)*200&amp;$B$2&amp;") or (L3+L4&lt;= "&amp;IF($B$2="mil",1,0.0254)*1200&amp;$B$2&amp;")"</f>
        <v>#REF!</v>
      </c>
      <c r="AB30" s="132" t="e">
        <f>"L5 Length Test (&lt;=" &amp; IF($B$2="mil",1,0.0254)*2000&amp;$B$2&amp;")"</f>
        <v>#REF!</v>
      </c>
      <c r="AC30" s="132" t="e">
        <f>"L6-1 Length Test (&lt;=" &amp; IF($B$2="mil",1,0.0254)*1000&amp;$B$2&amp;")"</f>
        <v>#REF!</v>
      </c>
      <c r="AD30" s="132" t="s">
        <v>435</v>
      </c>
      <c r="AE30" s="132" t="e">
        <f>"L7-1 Length Test (&lt;=" &amp; IF($B$2="mil",1,0.0254)*1000&amp;$B$2&amp;")"</f>
        <v>#REF!</v>
      </c>
      <c r="AF30" s="132" t="e">
        <f>"Diff L7-1 &amp; L7-2 (&lt;="&amp;IF($B$2="mil",1,0.0254)*50&amp;$B$2&amp;")"</f>
        <v>#REF!</v>
      </c>
      <c r="AG30" s="132" t="e">
        <f>"L8-1 Length Test (&lt;=" &amp; IF($B$2="mil",1,0.0254)*200&amp;$B$2&amp;") or (L7-1+L8-1&lt;= "&amp;IF($B$2="mil",1,0.0254)*1200&amp;$B$2&amp;")"</f>
        <v>#REF!</v>
      </c>
      <c r="AH30" s="129" t="e">
        <f>"Total Length to U1 (L0+L1+L2+L5+L6-1+L7-1+L8-1) Test
 ("&amp;IF($B$2="mil",1,0.0254)*500&amp;"-"&amp;IF($B$2="mil",1,0.0254)*6500&amp;IF($B$2="mil","mil","mm")&amp;")"</f>
        <v>#REF!</v>
      </c>
      <c r="AI30" s="129" t="e">
        <f>"Total Length to U1 (P1+L0+L1+L2+L5+L6-1+L7-1+L8-1) Test
 (&lt;="&amp;IF($B$2="mil",1,25.4)*7000&amp;IF($B$2="mil","mil","mm")&amp;")"</f>
        <v>#REF!</v>
      </c>
      <c r="AJ30" s="4"/>
    </row>
    <row r="31" spans="1:38" s="4" customFormat="1" ht="12.75" customHeight="1" x14ac:dyDescent="0.2">
      <c r="A31" s="134" t="s">
        <v>258</v>
      </c>
      <c r="B31" s="134"/>
      <c r="C31" s="566"/>
      <c r="D31" s="135"/>
      <c r="E31" s="135"/>
      <c r="F31" s="194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95"/>
      <c r="S31" s="195"/>
      <c r="T31" s="195"/>
      <c r="U31" s="195"/>
      <c r="V31" s="195"/>
      <c r="W31" s="195"/>
      <c r="X31" s="187"/>
      <c r="Y31" s="195"/>
      <c r="Z31" s="195"/>
      <c r="AA31" s="195"/>
      <c r="AB31" s="195"/>
      <c r="AC31" s="195"/>
      <c r="AD31" s="195"/>
      <c r="AE31" s="195"/>
      <c r="AF31" s="391"/>
      <c r="AG31" s="195"/>
      <c r="AH31" s="195"/>
      <c r="AI31" s="243"/>
    </row>
    <row r="32" spans="1:38" s="4" customFormat="1" ht="11.25" x14ac:dyDescent="0.2">
      <c r="A32" s="235" t="s">
        <v>262</v>
      </c>
      <c r="B32" s="141"/>
      <c r="C32" s="568"/>
      <c r="D32" s="142"/>
      <c r="E32" s="143"/>
      <c r="F32" s="196"/>
      <c r="G32" s="143"/>
      <c r="H32" s="143"/>
      <c r="I32" s="144"/>
      <c r="J32" s="144"/>
      <c r="K32" s="143"/>
      <c r="L32" s="144"/>
      <c r="M32" s="143"/>
      <c r="N32" s="143"/>
      <c r="O32" s="143"/>
      <c r="P32" s="143"/>
      <c r="Q32" s="143"/>
      <c r="R32" s="143"/>
      <c r="S32" s="485" t="s">
        <v>272</v>
      </c>
      <c r="T32" s="145" t="e">
        <f>MIN('DDR2 Clocks - 2L'!$R$5:$R$6)</f>
        <v>#REF!</v>
      </c>
      <c r="U32" s="486" t="e">
        <f>MAX('DDR2 Clocks - 2L'!$R$5:$R$6)</f>
        <v>#REF!</v>
      </c>
      <c r="V32" s="487"/>
      <c r="W32" s="145"/>
      <c r="X32" s="488"/>
      <c r="Y32" s="488"/>
      <c r="Z32" s="483"/>
      <c r="AA32" s="483"/>
      <c r="AB32" s="483"/>
      <c r="AC32" s="483"/>
      <c r="AD32" s="483"/>
      <c r="AE32" s="483"/>
      <c r="AF32" s="483"/>
      <c r="AG32" s="483"/>
      <c r="AH32" s="483"/>
      <c r="AI32" s="484"/>
    </row>
    <row r="33" spans="1:37" s="4" customFormat="1" ht="11.25" x14ac:dyDescent="0.2">
      <c r="A33" s="180" t="s">
        <v>277</v>
      </c>
      <c r="B33" s="134"/>
      <c r="C33" s="566"/>
      <c r="D33" s="155"/>
      <c r="E33" s="156"/>
      <c r="F33" s="198"/>
      <c r="G33" s="156"/>
      <c r="H33" s="156"/>
      <c r="I33" s="156"/>
      <c r="J33" s="157"/>
      <c r="K33" s="157"/>
      <c r="L33" s="156"/>
      <c r="M33" s="157"/>
      <c r="N33" s="157"/>
      <c r="O33" s="157"/>
      <c r="P33" s="157"/>
      <c r="Q33" s="157"/>
      <c r="R33" s="157"/>
      <c r="S33" s="155"/>
      <c r="T33" s="155"/>
      <c r="U33" s="476"/>
      <c r="V33" s="476"/>
      <c r="W33" s="155"/>
      <c r="X33" s="385"/>
      <c r="Y33" s="155"/>
      <c r="Z33" s="155"/>
      <c r="AA33" s="155"/>
      <c r="AB33" s="155"/>
      <c r="AC33" s="155"/>
      <c r="AD33" s="155"/>
      <c r="AE33" s="155"/>
      <c r="AF33" s="489"/>
      <c r="AG33" s="155"/>
      <c r="AH33" s="155"/>
      <c r="AI33" s="478"/>
    </row>
    <row r="34" spans="1:37" s="4" customFormat="1" x14ac:dyDescent="0.2">
      <c r="A34" s="161" t="s">
        <v>244</v>
      </c>
      <c r="B34" s="433" t="s">
        <v>129</v>
      </c>
      <c r="C34" s="562">
        <v>378.93700787401576</v>
      </c>
      <c r="D34" s="164"/>
      <c r="E34" s="199">
        <v>29.7</v>
      </c>
      <c r="F34" s="276">
        <v>0</v>
      </c>
      <c r="G34" s="270">
        <v>2264.34</v>
      </c>
      <c r="H34" s="295"/>
      <c r="I34" s="295"/>
      <c r="J34" s="294">
        <v>0</v>
      </c>
      <c r="K34" s="270">
        <v>42.88</v>
      </c>
      <c r="L34" s="296"/>
      <c r="M34" s="297">
        <v>700</v>
      </c>
      <c r="N34" s="363">
        <v>400</v>
      </c>
      <c r="O34" s="363"/>
      <c r="P34" s="270">
        <v>565.69000000000005</v>
      </c>
      <c r="Q34" s="270">
        <v>100.03</v>
      </c>
      <c r="R34" s="490">
        <f>SUM($E34:$G34,$M34,$P34,$N34,$Q34)</f>
        <v>4059.76</v>
      </c>
      <c r="S34" s="469" t="e">
        <f>$R34+IF($B$2="mil",1,0.0254)*$C34</f>
        <v>#REF!</v>
      </c>
      <c r="T34" s="469" t="e">
        <f>$U$32 + IF($B$2="mil",1,0.0254)*DDR2Specs!$E$9</f>
        <v>#REF!</v>
      </c>
      <c r="U34" s="469" t="e">
        <f>$T$32 + IF($B$2="mil",1,0.0254)*DDR2Specs!$F$9</f>
        <v>#REF!</v>
      </c>
      <c r="V34" s="491" t="e">
        <f>IF($S34&lt;$T34,$T34-$S34,"Pass")</f>
        <v>#REF!</v>
      </c>
      <c r="W34" s="492" t="e">
        <f>IF($S34&gt;$U34,$S34-$U34,"Pass")</f>
        <v>#REF!</v>
      </c>
      <c r="X34" s="472" t="e">
        <f>IF($E34&lt;=IF($B$2="mil",1,0.0254)*50,"Pass",IF($B$2="mil",1,0.0254)*50-$E34)</f>
        <v>#REF!</v>
      </c>
      <c r="Y34" s="473" t="e">
        <f>IF($F34&lt;=IF($B$2="mil",1,0.0254)*500,"Pass",IF($B$2="mil",1,0.0254)*500-$F34)</f>
        <v>#REF!</v>
      </c>
      <c r="Z34" s="473" t="e">
        <f>IF($J34&lt;=IF($B$2="mil",1,0.0254)*1000,"Pass",IF($B$2="mil",1,0.0254)*1000-$J34)</f>
        <v>#REF!</v>
      </c>
      <c r="AA34" s="473" t="e">
        <f ca="1">CheckLength2(IF($B$2="mil",1,0.0254)*1200,J34,K34,0)</f>
        <v>#NAME?</v>
      </c>
      <c r="AB34" s="473" t="e">
        <f>IF(M34&lt;=IF($B$2="mil",1,0.0254)*2000,"Pass",IF($B$2="mil",1,0.0254)*2000-M34)</f>
        <v>#REF!</v>
      </c>
      <c r="AC34" s="473" t="e">
        <f>IF(N34&lt;=IF($B$2="mil",1,0.0254)*1000,"Pass",IF($B$2="mil",1,0.0254)*1000-N34)</f>
        <v>#REF!</v>
      </c>
      <c r="AD34" s="473" t="e">
        <f>IF(MAX(N34,P86)-MIN(N34,P86)&lt;=IF($B$2="mil",1,0.0254)*50,"Pass",MAX(N34,P86)-MIN(N34,P86)-IF($B$2="mil",1,0.0254)*50)</f>
        <v>#REF!</v>
      </c>
      <c r="AE34" s="473" t="e">
        <f>IF($P34&lt;=IF($B$2="mil",1,0.0254)*1000,"Pass",IF($B$2="mil",1,0.0254)*1000-$P34)</f>
        <v>#REF!</v>
      </c>
      <c r="AF34" s="473" t="e">
        <f>IF(MAX(P34,P112)-MIN(P34,P112)&lt;=IF($B$2="mil",1,0.0254)*50,"Pass",MAX(P34,P112)-MIN(P34,P112)-IF($B$2="mil",1,0.0254)*50)</f>
        <v>#REF!</v>
      </c>
      <c r="AG34" s="473" t="e">
        <f ca="1">CheckLength2(IF($B$2="mil",1,0.0254)*1200,P34,Q34,0)</f>
        <v>#NAME?</v>
      </c>
      <c r="AH34" s="473" t="e">
        <f>IF(AND($R34&gt;=IF($B$2="mil",1,0.0254)*500, $R34&lt;=IF($B$2="mil",1,0.0254)*6500),"Pass",IF($B$2="mil",1,0.0254)*6500-$R34)</f>
        <v>#REF!</v>
      </c>
      <c r="AI34" s="474" t="e">
        <f>IF(AND($S34&gt;=IF($B$2="mil",1,0.0254)*500, $S34&lt;=IF($B$2="mil",1,0.0254)*7000),"Pass",IF($B$2="mil",1,0.0254)*7000-$S34)</f>
        <v>#REF!</v>
      </c>
      <c r="AJ34" s="4" t="e">
        <f ca="1">IF(AND(V34="Pass",W34="Pass",X34="Pass",Y34="Pass",Z34="Pass",AA34="Pass",AB34="Pass",AC34="Pass",AD34="Pass",AE34="Pass",AF34="Pass",AG34="Pass",AH34="Pass",AI34="Pass"),"Pass","Fail")</f>
        <v>#REF!</v>
      </c>
      <c r="AK34" s="4" t="e">
        <f ca="1">IF(AND(AJ46="Pass",AJ47="Pass",AJ49="Pass",AJ50="Pass",AJ51="Pass",AJ53="Pass",AJ54="Pass",AJ55="Pass"),"Pass","Fail")</f>
        <v>#REF!</v>
      </c>
    </row>
    <row r="35" spans="1:37" s="4" customFormat="1" x14ac:dyDescent="0.2">
      <c r="A35" s="214" t="s">
        <v>87</v>
      </c>
      <c r="B35" s="433" t="s">
        <v>478</v>
      </c>
      <c r="C35" s="562">
        <v>526.1811023622048</v>
      </c>
      <c r="D35" s="164"/>
      <c r="E35" s="199">
        <v>29.7</v>
      </c>
      <c r="F35" s="276">
        <v>0</v>
      </c>
      <c r="G35" s="270">
        <v>2001.91</v>
      </c>
      <c r="H35" s="295"/>
      <c r="I35" s="295"/>
      <c r="J35" s="294">
        <v>0</v>
      </c>
      <c r="K35" s="270">
        <v>32.5</v>
      </c>
      <c r="L35" s="296"/>
      <c r="M35" s="297">
        <v>700</v>
      </c>
      <c r="N35" s="363">
        <v>500</v>
      </c>
      <c r="O35" s="363"/>
      <c r="P35" s="270">
        <v>587.88</v>
      </c>
      <c r="Q35" s="270">
        <v>85.04</v>
      </c>
      <c r="R35" s="490">
        <f t="shared" ref="R35:R55" si="13">SUM($E35:$G35,$M35,$P35,$N35,$Q35)</f>
        <v>3904.53</v>
      </c>
      <c r="S35" s="469" t="e">
        <f t="shared" ref="S35:S55" si="14">$R35+IF($B$2="mil",1,0.0254)*$C35</f>
        <v>#REF!</v>
      </c>
      <c r="T35" s="469" t="e">
        <f>$U$32 + IF($B$2="mil",1,0.0254)*DDR2Specs!$E$9</f>
        <v>#REF!</v>
      </c>
      <c r="U35" s="469" t="e">
        <f>$T$32 + IF($B$2="mil",1,0.0254)*DDR2Specs!$F$9</f>
        <v>#REF!</v>
      </c>
      <c r="V35" s="491" t="e">
        <f t="shared" ref="V35:V55" si="15">IF($S35&lt;$T35,$T35-$S35,"Pass")</f>
        <v>#REF!</v>
      </c>
      <c r="W35" s="492" t="e">
        <f t="shared" ref="W35:W55" si="16">IF($S35&gt;$U35,$S35-$U35,"Pass")</f>
        <v>#REF!</v>
      </c>
      <c r="X35" s="472" t="e">
        <f t="shared" ref="X35:X47" si="17">IF($E35&lt;=IF($B$2="mil",1,0.0254)*50,"Pass",IF($B$2="mil",1,0.0254)*50-$E35)</f>
        <v>#REF!</v>
      </c>
      <c r="Y35" s="473" t="e">
        <f t="shared" ref="Y35:Y55" si="18">IF($F35&lt;=IF($B$2="mil",1,0.0254)*500,"Pass",IF($B$2="mil",1,0.0254)*500-$F35)</f>
        <v>#REF!</v>
      </c>
      <c r="Z35" s="473" t="e">
        <f>IF($J35&lt;=IF($B$2="mil",1,0.0254)*1000,"Pass",IF($B$2="mil",1,0.0254)*1000-$J35)</f>
        <v>#REF!</v>
      </c>
      <c r="AA35" s="473" t="e">
        <f t="shared" ref="AA35:AA47" ca="1" si="19">CheckLength2(IF($B$2="mil",1,0.0254)*1200,J35,K35,0)</f>
        <v>#NAME?</v>
      </c>
      <c r="AB35" s="473" t="e">
        <f t="shared" ref="AB35:AB47" si="20">IF(M35&lt;=IF($B$2="mil",1,0.0254)*2000,"Pass",IF($B$2="mil",1,0.0254)*2000-M35)</f>
        <v>#REF!</v>
      </c>
      <c r="AC35" s="473" t="e">
        <f t="shared" ref="AC35:AC47" si="21">IF(N35&lt;=IF($B$2="mil",1,0.0254)*1000,"Pass",IF($B$2="mil",1,0.0254)*1000-N35)</f>
        <v>#REF!</v>
      </c>
      <c r="AD35" s="473" t="e">
        <f t="shared" ref="AD35:AD47" si="22">IF(MAX(N35,P87)-MIN(N35,P87)&lt;=IF($B$2="mil",1,0.0254)*50,"Pass",MAX(N35,P87)-MIN(N35,P87)-IF($B$2="mil",1,0.0254)*50)</f>
        <v>#REF!</v>
      </c>
      <c r="AE35" s="473" t="e">
        <f t="shared" ref="AE35:AE47" si="23">IF($P35&lt;=IF($B$2="mil",1,0.0254)*1000,"Pass",IF($B$2="mil",1,0.0254)*1000-$P35)</f>
        <v>#REF!</v>
      </c>
      <c r="AF35" s="473" t="e">
        <f t="shared" ref="AF35:AF47" si="24">IF(MAX(P35,P113)-MIN(P35,P113)&lt;=IF($B$2="mil",1,0.0254)*50,"Pass",MAX(P35,P113)-MIN(P35,P113)-IF($B$2="mil",1,0.0254)*50)</f>
        <v>#REF!</v>
      </c>
      <c r="AG35" s="473" t="e">
        <f t="shared" ref="AG35:AG47" ca="1" si="25">CheckLength2(IF($B$2="mil",1,0.0254)*1200,P35,Q35,0)</f>
        <v>#NAME?</v>
      </c>
      <c r="AH35" s="473" t="e">
        <f t="shared" ref="AH35:AH47" si="26">IF(AND($R35&gt;=IF($B$2="mil",1,0.0254)*500, $R35&lt;=IF($B$2="mil",1,0.0254)*6500),"Pass",IF($B$2="mil",1,0.0254)*6500-$R35)</f>
        <v>#REF!</v>
      </c>
      <c r="AI35" s="474" t="e">
        <f t="shared" ref="AI35:AI47" si="27">IF(AND($S35&gt;=IF($B$2="mil",1,0.0254)*500, $S35&lt;=IF($B$2="mil",1,0.0254)*7000),"Pass",IF($B$2="mil",1,0.0254)*7000-$S35)</f>
        <v>#REF!</v>
      </c>
      <c r="AJ35" s="4" t="e">
        <f t="shared" ref="AJ35:AJ55" ca="1" si="28">IF(AND(V35="Pass",W35="Pass",X35="Pass",Y35="Pass",Z35="Pass",AA35="Pass",AB35="Pass",AC35="Pass",AD35="Pass",AE35="Pass",AF35="Pass",AG35="Pass",AH35="Pass",AI35="Pass"),"Pass","Fail")</f>
        <v>#REF!</v>
      </c>
      <c r="AK35" s="4" t="e">
        <f ca="1">IF(AND(AJ35="Pass",AJ36="Pass",AJ37="Pass",AJ38="Pass",AJ39="Pass",AJ40="Pass",AJ41="Pass",AJ42="Pass",AJ43="Pass",AJ44="Pass",AJ45="Pass",AJ34="Pass"),"Pass","Fail")</f>
        <v>#REF!</v>
      </c>
    </row>
    <row r="36" spans="1:37" s="4" customFormat="1" x14ac:dyDescent="0.2">
      <c r="A36" s="214" t="s">
        <v>88</v>
      </c>
      <c r="B36" s="433" t="s">
        <v>479</v>
      </c>
      <c r="C36" s="562">
        <v>448.14960629921256</v>
      </c>
      <c r="D36" s="164"/>
      <c r="E36" s="199">
        <v>29.7</v>
      </c>
      <c r="F36" s="276">
        <v>0</v>
      </c>
      <c r="G36" s="270">
        <v>1907.19</v>
      </c>
      <c r="H36" s="295"/>
      <c r="I36" s="295"/>
      <c r="J36" s="294">
        <v>0</v>
      </c>
      <c r="K36" s="270">
        <v>41.64</v>
      </c>
      <c r="L36" s="296"/>
      <c r="M36" s="297">
        <v>700</v>
      </c>
      <c r="N36" s="363">
        <v>500</v>
      </c>
      <c r="O36" s="363"/>
      <c r="P36" s="270">
        <v>565.69000000000005</v>
      </c>
      <c r="Q36" s="270">
        <v>99.56</v>
      </c>
      <c r="R36" s="490">
        <f t="shared" si="13"/>
        <v>3802.1400000000003</v>
      </c>
      <c r="S36" s="469" t="e">
        <f t="shared" si="14"/>
        <v>#REF!</v>
      </c>
      <c r="T36" s="469" t="e">
        <f>$U$32 + IF($B$2="mil",1,0.0254)*DDR2Specs!$E$9</f>
        <v>#REF!</v>
      </c>
      <c r="U36" s="469" t="e">
        <f>$T$32 + IF($B$2="mil",1,0.0254)*DDR2Specs!$F$9</f>
        <v>#REF!</v>
      </c>
      <c r="V36" s="491" t="e">
        <f t="shared" si="15"/>
        <v>#REF!</v>
      </c>
      <c r="W36" s="492" t="e">
        <f t="shared" si="16"/>
        <v>#REF!</v>
      </c>
      <c r="X36" s="472" t="e">
        <f t="shared" si="17"/>
        <v>#REF!</v>
      </c>
      <c r="Y36" s="473" t="e">
        <f t="shared" si="18"/>
        <v>#REF!</v>
      </c>
      <c r="Z36" s="473" t="e">
        <f t="shared" ref="Z36:Z55" si="29">IF($J36&lt;=IF($B$2="mil",1,0.0254)*1000,"Pass",IF($B$2="mil",1,0.0254)*1000-$J36)</f>
        <v>#REF!</v>
      </c>
      <c r="AA36" s="473" t="e">
        <f t="shared" ca="1" si="19"/>
        <v>#NAME?</v>
      </c>
      <c r="AB36" s="473" t="e">
        <f t="shared" si="20"/>
        <v>#REF!</v>
      </c>
      <c r="AC36" s="473" t="e">
        <f t="shared" si="21"/>
        <v>#REF!</v>
      </c>
      <c r="AD36" s="473" t="e">
        <f t="shared" si="22"/>
        <v>#REF!</v>
      </c>
      <c r="AE36" s="473" t="e">
        <f t="shared" si="23"/>
        <v>#REF!</v>
      </c>
      <c r="AF36" s="473" t="e">
        <f t="shared" si="24"/>
        <v>#REF!</v>
      </c>
      <c r="AG36" s="473" t="e">
        <f t="shared" ca="1" si="25"/>
        <v>#NAME?</v>
      </c>
      <c r="AH36" s="473" t="e">
        <f t="shared" si="26"/>
        <v>#REF!</v>
      </c>
      <c r="AI36" s="474" t="e">
        <f t="shared" si="27"/>
        <v>#REF!</v>
      </c>
      <c r="AJ36" s="4" t="e">
        <f t="shared" ca="1" si="28"/>
        <v>#REF!</v>
      </c>
    </row>
    <row r="37" spans="1:37" s="4" customFormat="1" x14ac:dyDescent="0.2">
      <c r="A37" s="214" t="s">
        <v>89</v>
      </c>
      <c r="B37" s="433" t="s">
        <v>480</v>
      </c>
      <c r="C37" s="562">
        <v>435.90551181102359</v>
      </c>
      <c r="D37" s="164"/>
      <c r="E37" s="199">
        <v>29.7</v>
      </c>
      <c r="F37" s="276">
        <v>0</v>
      </c>
      <c r="G37" s="270">
        <v>2159.11</v>
      </c>
      <c r="H37" s="295"/>
      <c r="I37" s="295"/>
      <c r="J37" s="294">
        <v>0</v>
      </c>
      <c r="K37" s="270">
        <v>41.03</v>
      </c>
      <c r="L37" s="296"/>
      <c r="M37" s="297">
        <v>700</v>
      </c>
      <c r="N37" s="363">
        <v>300</v>
      </c>
      <c r="O37" s="363"/>
      <c r="P37" s="270">
        <v>579.26</v>
      </c>
      <c r="Q37" s="270">
        <v>145.9</v>
      </c>
      <c r="R37" s="490">
        <f t="shared" si="13"/>
        <v>3913.97</v>
      </c>
      <c r="S37" s="469" t="e">
        <f t="shared" si="14"/>
        <v>#REF!</v>
      </c>
      <c r="T37" s="469" t="e">
        <f>$U$32 + IF($B$2="mil",1,0.0254)*DDR2Specs!$E$9</f>
        <v>#REF!</v>
      </c>
      <c r="U37" s="469" t="e">
        <f>$T$32 + IF($B$2="mil",1,0.0254)*DDR2Specs!$F$9</f>
        <v>#REF!</v>
      </c>
      <c r="V37" s="491" t="e">
        <f t="shared" si="15"/>
        <v>#REF!</v>
      </c>
      <c r="W37" s="492" t="e">
        <f t="shared" si="16"/>
        <v>#REF!</v>
      </c>
      <c r="X37" s="472" t="e">
        <f t="shared" si="17"/>
        <v>#REF!</v>
      </c>
      <c r="Y37" s="473" t="e">
        <f t="shared" si="18"/>
        <v>#REF!</v>
      </c>
      <c r="Z37" s="473" t="e">
        <f t="shared" si="29"/>
        <v>#REF!</v>
      </c>
      <c r="AA37" s="473" t="e">
        <f t="shared" ca="1" si="19"/>
        <v>#NAME?</v>
      </c>
      <c r="AB37" s="473" t="e">
        <f t="shared" si="20"/>
        <v>#REF!</v>
      </c>
      <c r="AC37" s="473" t="e">
        <f t="shared" si="21"/>
        <v>#REF!</v>
      </c>
      <c r="AD37" s="473" t="e">
        <f t="shared" si="22"/>
        <v>#REF!</v>
      </c>
      <c r="AE37" s="473" t="e">
        <f t="shared" si="23"/>
        <v>#REF!</v>
      </c>
      <c r="AF37" s="473" t="e">
        <f t="shared" si="24"/>
        <v>#REF!</v>
      </c>
      <c r="AG37" s="473" t="e">
        <f t="shared" ca="1" si="25"/>
        <v>#NAME?</v>
      </c>
      <c r="AH37" s="473" t="e">
        <f t="shared" si="26"/>
        <v>#REF!</v>
      </c>
      <c r="AI37" s="474" t="e">
        <f t="shared" si="27"/>
        <v>#REF!</v>
      </c>
      <c r="AJ37" s="4" t="e">
        <f t="shared" ca="1" si="28"/>
        <v>#REF!</v>
      </c>
    </row>
    <row r="38" spans="1:37" s="4" customFormat="1" x14ac:dyDescent="0.2">
      <c r="A38" s="214" t="s">
        <v>90</v>
      </c>
      <c r="B38" s="433" t="s">
        <v>481</v>
      </c>
      <c r="C38" s="562">
        <v>381.06299212598429</v>
      </c>
      <c r="D38" s="164"/>
      <c r="E38" s="199">
        <v>29.7</v>
      </c>
      <c r="F38" s="276">
        <v>0</v>
      </c>
      <c r="G38" s="270">
        <v>1739.31</v>
      </c>
      <c r="H38" s="295"/>
      <c r="I38" s="295"/>
      <c r="J38" s="294">
        <v>0</v>
      </c>
      <c r="K38" s="270">
        <v>36.74</v>
      </c>
      <c r="L38" s="296"/>
      <c r="M38" s="297">
        <v>700</v>
      </c>
      <c r="N38" s="363">
        <v>600</v>
      </c>
      <c r="O38" s="363"/>
      <c r="P38" s="270">
        <v>624.74</v>
      </c>
      <c r="Q38" s="270">
        <v>103.51</v>
      </c>
      <c r="R38" s="490">
        <f t="shared" si="13"/>
        <v>3797.26</v>
      </c>
      <c r="S38" s="469" t="e">
        <f t="shared" si="14"/>
        <v>#REF!</v>
      </c>
      <c r="T38" s="469" t="e">
        <f>$U$32 + IF($B$2="mil",1,0.0254)*DDR2Specs!$E$9</f>
        <v>#REF!</v>
      </c>
      <c r="U38" s="469" t="e">
        <f>$T$32 + IF($B$2="mil",1,0.0254)*DDR2Specs!$F$9</f>
        <v>#REF!</v>
      </c>
      <c r="V38" s="491" t="e">
        <f t="shared" si="15"/>
        <v>#REF!</v>
      </c>
      <c r="W38" s="492" t="e">
        <f t="shared" si="16"/>
        <v>#REF!</v>
      </c>
      <c r="X38" s="472" t="e">
        <f t="shared" si="17"/>
        <v>#REF!</v>
      </c>
      <c r="Y38" s="473" t="e">
        <f t="shared" si="18"/>
        <v>#REF!</v>
      </c>
      <c r="Z38" s="473" t="e">
        <f t="shared" si="29"/>
        <v>#REF!</v>
      </c>
      <c r="AA38" s="473" t="e">
        <f t="shared" ca="1" si="19"/>
        <v>#NAME?</v>
      </c>
      <c r="AB38" s="473" t="e">
        <f t="shared" si="20"/>
        <v>#REF!</v>
      </c>
      <c r="AC38" s="473" t="e">
        <f t="shared" si="21"/>
        <v>#REF!</v>
      </c>
      <c r="AD38" s="473" t="e">
        <f t="shared" si="22"/>
        <v>#REF!</v>
      </c>
      <c r="AE38" s="473" t="e">
        <f t="shared" si="23"/>
        <v>#REF!</v>
      </c>
      <c r="AF38" s="473" t="e">
        <f t="shared" si="24"/>
        <v>#REF!</v>
      </c>
      <c r="AG38" s="473" t="e">
        <f t="shared" ca="1" si="25"/>
        <v>#NAME?</v>
      </c>
      <c r="AH38" s="473" t="e">
        <f t="shared" si="26"/>
        <v>#REF!</v>
      </c>
      <c r="AI38" s="474" t="e">
        <f t="shared" si="27"/>
        <v>#REF!</v>
      </c>
      <c r="AJ38" s="4" t="e">
        <f t="shared" ca="1" si="28"/>
        <v>#REF!</v>
      </c>
    </row>
    <row r="39" spans="1:37" s="4" customFormat="1" x14ac:dyDescent="0.2">
      <c r="A39" s="214" t="s">
        <v>91</v>
      </c>
      <c r="B39" s="434" t="s">
        <v>482</v>
      </c>
      <c r="C39" s="562">
        <v>420.03937007874021</v>
      </c>
      <c r="D39" s="164"/>
      <c r="E39" s="199">
        <v>29.7</v>
      </c>
      <c r="F39" s="276">
        <v>0</v>
      </c>
      <c r="G39" s="270">
        <v>2311.37</v>
      </c>
      <c r="H39" s="295"/>
      <c r="I39" s="295"/>
      <c r="J39" s="294">
        <v>0</v>
      </c>
      <c r="K39" s="270">
        <v>38.71</v>
      </c>
      <c r="L39" s="296"/>
      <c r="M39" s="297">
        <v>700</v>
      </c>
      <c r="N39" s="363">
        <v>200</v>
      </c>
      <c r="O39" s="363"/>
      <c r="P39" s="270">
        <v>610.85</v>
      </c>
      <c r="Q39" s="270">
        <v>75.709999999999994</v>
      </c>
      <c r="R39" s="490">
        <f t="shared" si="13"/>
        <v>3927.6299999999997</v>
      </c>
      <c r="S39" s="469" t="e">
        <f t="shared" si="14"/>
        <v>#REF!</v>
      </c>
      <c r="T39" s="469" t="e">
        <f>$U$32 + IF($B$2="mil",1,0.0254)*DDR2Specs!$E$9</f>
        <v>#REF!</v>
      </c>
      <c r="U39" s="469" t="e">
        <f>$T$32 + IF($B$2="mil",1,0.0254)*DDR2Specs!$F$9</f>
        <v>#REF!</v>
      </c>
      <c r="V39" s="491" t="e">
        <f t="shared" si="15"/>
        <v>#REF!</v>
      </c>
      <c r="W39" s="492" t="e">
        <f t="shared" si="16"/>
        <v>#REF!</v>
      </c>
      <c r="X39" s="472" t="e">
        <f t="shared" si="17"/>
        <v>#REF!</v>
      </c>
      <c r="Y39" s="473" t="e">
        <f t="shared" si="18"/>
        <v>#REF!</v>
      </c>
      <c r="Z39" s="473" t="e">
        <f t="shared" si="29"/>
        <v>#REF!</v>
      </c>
      <c r="AA39" s="473" t="e">
        <f t="shared" ca="1" si="19"/>
        <v>#NAME?</v>
      </c>
      <c r="AB39" s="473" t="e">
        <f t="shared" si="20"/>
        <v>#REF!</v>
      </c>
      <c r="AC39" s="473" t="e">
        <f t="shared" si="21"/>
        <v>#REF!</v>
      </c>
      <c r="AD39" s="473" t="e">
        <f t="shared" si="22"/>
        <v>#REF!</v>
      </c>
      <c r="AE39" s="473" t="e">
        <f t="shared" si="23"/>
        <v>#REF!</v>
      </c>
      <c r="AF39" s="473" t="e">
        <f t="shared" si="24"/>
        <v>#REF!</v>
      </c>
      <c r="AG39" s="473" t="e">
        <f t="shared" ca="1" si="25"/>
        <v>#NAME?</v>
      </c>
      <c r="AH39" s="473" t="e">
        <f t="shared" si="26"/>
        <v>#REF!</v>
      </c>
      <c r="AI39" s="474" t="e">
        <f t="shared" si="27"/>
        <v>#REF!</v>
      </c>
      <c r="AJ39" s="4" t="e">
        <f t="shared" ca="1" si="28"/>
        <v>#REF!</v>
      </c>
    </row>
    <row r="40" spans="1:37" s="4" customFormat="1" x14ac:dyDescent="0.2">
      <c r="A40" s="214" t="s">
        <v>92</v>
      </c>
      <c r="B40" s="433" t="s">
        <v>483</v>
      </c>
      <c r="C40" s="562">
        <v>468.89763779527561</v>
      </c>
      <c r="D40" s="164"/>
      <c r="E40" s="199">
        <v>29.7</v>
      </c>
      <c r="F40" s="276">
        <v>0</v>
      </c>
      <c r="G40" s="270">
        <v>2336.23</v>
      </c>
      <c r="H40" s="295"/>
      <c r="I40" s="295"/>
      <c r="J40" s="294">
        <v>0</v>
      </c>
      <c r="K40" s="270">
        <v>37.5</v>
      </c>
      <c r="L40" s="296"/>
      <c r="M40" s="297">
        <v>700</v>
      </c>
      <c r="N40" s="363">
        <v>200</v>
      </c>
      <c r="O40" s="363"/>
      <c r="P40" s="270">
        <v>604.02</v>
      </c>
      <c r="Q40" s="270">
        <v>101.05</v>
      </c>
      <c r="R40" s="490">
        <f t="shared" si="13"/>
        <v>3971</v>
      </c>
      <c r="S40" s="469" t="e">
        <f t="shared" si="14"/>
        <v>#REF!</v>
      </c>
      <c r="T40" s="469" t="e">
        <f>$U$32 + IF($B$2="mil",1,0.0254)*DDR2Specs!$E$9</f>
        <v>#REF!</v>
      </c>
      <c r="U40" s="469" t="e">
        <f>$T$32 + IF($B$2="mil",1,0.0254)*DDR2Specs!$F$9</f>
        <v>#REF!</v>
      </c>
      <c r="V40" s="491" t="e">
        <f t="shared" si="15"/>
        <v>#REF!</v>
      </c>
      <c r="W40" s="492" t="e">
        <f t="shared" si="16"/>
        <v>#REF!</v>
      </c>
      <c r="X40" s="472" t="e">
        <f t="shared" si="17"/>
        <v>#REF!</v>
      </c>
      <c r="Y40" s="473" t="e">
        <f t="shared" si="18"/>
        <v>#REF!</v>
      </c>
      <c r="Z40" s="473" t="e">
        <f t="shared" si="29"/>
        <v>#REF!</v>
      </c>
      <c r="AA40" s="473" t="e">
        <f t="shared" ca="1" si="19"/>
        <v>#NAME?</v>
      </c>
      <c r="AB40" s="473" t="e">
        <f t="shared" si="20"/>
        <v>#REF!</v>
      </c>
      <c r="AC40" s="473" t="e">
        <f t="shared" si="21"/>
        <v>#REF!</v>
      </c>
      <c r="AD40" s="473" t="e">
        <f t="shared" si="22"/>
        <v>#REF!</v>
      </c>
      <c r="AE40" s="473" t="e">
        <f t="shared" si="23"/>
        <v>#REF!</v>
      </c>
      <c r="AF40" s="473" t="e">
        <f t="shared" si="24"/>
        <v>#REF!</v>
      </c>
      <c r="AG40" s="473" t="e">
        <f t="shared" ca="1" si="25"/>
        <v>#NAME?</v>
      </c>
      <c r="AH40" s="473" t="e">
        <f t="shared" si="26"/>
        <v>#REF!</v>
      </c>
      <c r="AI40" s="474" t="e">
        <f t="shared" si="27"/>
        <v>#REF!</v>
      </c>
      <c r="AJ40" s="4" t="e">
        <f t="shared" ca="1" si="28"/>
        <v>#REF!</v>
      </c>
    </row>
    <row r="41" spans="1:37" s="4" customFormat="1" x14ac:dyDescent="0.2">
      <c r="A41" s="214" t="s">
        <v>94</v>
      </c>
      <c r="B41" s="433" t="s">
        <v>484</v>
      </c>
      <c r="C41" s="562">
        <v>508.74015748031502</v>
      </c>
      <c r="D41" s="164"/>
      <c r="E41" s="199">
        <v>29.7</v>
      </c>
      <c r="F41" s="276">
        <v>0</v>
      </c>
      <c r="G41" s="270">
        <v>2228.25</v>
      </c>
      <c r="H41" s="295"/>
      <c r="I41" s="295"/>
      <c r="J41" s="294">
        <v>0</v>
      </c>
      <c r="K41" s="270">
        <v>37.5</v>
      </c>
      <c r="L41" s="296"/>
      <c r="M41" s="297">
        <v>700</v>
      </c>
      <c r="N41" s="363">
        <v>200</v>
      </c>
      <c r="O41" s="363"/>
      <c r="P41" s="270">
        <v>596.35</v>
      </c>
      <c r="Q41" s="270">
        <v>144.30000000000001</v>
      </c>
      <c r="R41" s="490">
        <f t="shared" si="13"/>
        <v>3898.6</v>
      </c>
      <c r="S41" s="469" t="e">
        <f t="shared" si="14"/>
        <v>#REF!</v>
      </c>
      <c r="T41" s="469" t="e">
        <f>$U$32 + IF($B$2="mil",1,0.0254)*DDR2Specs!$E$9</f>
        <v>#REF!</v>
      </c>
      <c r="U41" s="469" t="e">
        <f>$T$32 + IF($B$2="mil",1,0.0254)*DDR2Specs!$F$9</f>
        <v>#REF!</v>
      </c>
      <c r="V41" s="491" t="e">
        <f t="shared" si="15"/>
        <v>#REF!</v>
      </c>
      <c r="W41" s="492" t="e">
        <f t="shared" si="16"/>
        <v>#REF!</v>
      </c>
      <c r="X41" s="472" t="e">
        <f t="shared" si="17"/>
        <v>#REF!</v>
      </c>
      <c r="Y41" s="473" t="e">
        <f t="shared" si="18"/>
        <v>#REF!</v>
      </c>
      <c r="Z41" s="473" t="e">
        <f t="shared" si="29"/>
        <v>#REF!</v>
      </c>
      <c r="AA41" s="473" t="e">
        <f t="shared" ca="1" si="19"/>
        <v>#NAME?</v>
      </c>
      <c r="AB41" s="473" t="e">
        <f t="shared" si="20"/>
        <v>#REF!</v>
      </c>
      <c r="AC41" s="473" t="e">
        <f t="shared" si="21"/>
        <v>#REF!</v>
      </c>
      <c r="AD41" s="473" t="e">
        <f t="shared" si="22"/>
        <v>#REF!</v>
      </c>
      <c r="AE41" s="473" t="e">
        <f t="shared" si="23"/>
        <v>#REF!</v>
      </c>
      <c r="AF41" s="473" t="e">
        <f t="shared" si="24"/>
        <v>#REF!</v>
      </c>
      <c r="AG41" s="473" t="e">
        <f t="shared" ca="1" si="25"/>
        <v>#NAME?</v>
      </c>
      <c r="AH41" s="473" t="e">
        <f t="shared" si="26"/>
        <v>#REF!</v>
      </c>
      <c r="AI41" s="474" t="e">
        <f t="shared" si="27"/>
        <v>#REF!</v>
      </c>
      <c r="AJ41" s="4" t="e">
        <f t="shared" ca="1" si="28"/>
        <v>#REF!</v>
      </c>
    </row>
    <row r="42" spans="1:37" s="4" customFormat="1" x14ac:dyDescent="0.2">
      <c r="A42" s="214" t="s">
        <v>95</v>
      </c>
      <c r="B42" s="434" t="s">
        <v>485</v>
      </c>
      <c r="C42" s="562">
        <v>529.40944881889766</v>
      </c>
      <c r="D42" s="164"/>
      <c r="E42" s="199">
        <v>29.7</v>
      </c>
      <c r="F42" s="276">
        <v>0</v>
      </c>
      <c r="G42" s="270">
        <v>1730.91</v>
      </c>
      <c r="H42" s="295"/>
      <c r="I42" s="295"/>
      <c r="J42" s="294">
        <v>0</v>
      </c>
      <c r="K42" s="270">
        <v>34.909999999999997</v>
      </c>
      <c r="L42" s="296"/>
      <c r="M42" s="297">
        <v>700</v>
      </c>
      <c r="N42" s="363">
        <v>750</v>
      </c>
      <c r="O42" s="363"/>
      <c r="P42" s="270">
        <v>615.67999999999995</v>
      </c>
      <c r="Q42" s="270">
        <v>75.209999999999994</v>
      </c>
      <c r="R42" s="490">
        <f t="shared" si="13"/>
        <v>3901.5</v>
      </c>
      <c r="S42" s="469" t="e">
        <f t="shared" si="14"/>
        <v>#REF!</v>
      </c>
      <c r="T42" s="469" t="e">
        <f>$U$32 + IF($B$2="mil",1,0.0254)*DDR2Specs!$E$9</f>
        <v>#REF!</v>
      </c>
      <c r="U42" s="469" t="e">
        <f>$T$32 + IF($B$2="mil",1,0.0254)*DDR2Specs!$F$9</f>
        <v>#REF!</v>
      </c>
      <c r="V42" s="491" t="e">
        <f t="shared" si="15"/>
        <v>#REF!</v>
      </c>
      <c r="W42" s="492" t="e">
        <f t="shared" si="16"/>
        <v>#REF!</v>
      </c>
      <c r="X42" s="472" t="e">
        <f t="shared" si="17"/>
        <v>#REF!</v>
      </c>
      <c r="Y42" s="473" t="e">
        <f t="shared" si="18"/>
        <v>#REF!</v>
      </c>
      <c r="Z42" s="473" t="e">
        <f t="shared" si="29"/>
        <v>#REF!</v>
      </c>
      <c r="AA42" s="473" t="e">
        <f t="shared" ca="1" si="19"/>
        <v>#NAME?</v>
      </c>
      <c r="AB42" s="473" t="e">
        <f t="shared" si="20"/>
        <v>#REF!</v>
      </c>
      <c r="AC42" s="473" t="e">
        <f t="shared" si="21"/>
        <v>#REF!</v>
      </c>
      <c r="AD42" s="473" t="e">
        <f t="shared" si="22"/>
        <v>#REF!</v>
      </c>
      <c r="AE42" s="473" t="e">
        <f t="shared" si="23"/>
        <v>#REF!</v>
      </c>
      <c r="AF42" s="473" t="e">
        <f t="shared" si="24"/>
        <v>#REF!</v>
      </c>
      <c r="AG42" s="473" t="e">
        <f t="shared" ca="1" si="25"/>
        <v>#NAME?</v>
      </c>
      <c r="AH42" s="473" t="e">
        <f t="shared" si="26"/>
        <v>#REF!</v>
      </c>
      <c r="AI42" s="474" t="e">
        <f t="shared" si="27"/>
        <v>#REF!</v>
      </c>
      <c r="AJ42" s="4" t="e">
        <f t="shared" ca="1" si="28"/>
        <v>#REF!</v>
      </c>
    </row>
    <row r="43" spans="1:37" s="4" customFormat="1" x14ac:dyDescent="0.2">
      <c r="A43" s="214" t="s">
        <v>96</v>
      </c>
      <c r="B43" s="433" t="s">
        <v>486</v>
      </c>
      <c r="C43" s="562">
        <v>442.40157480314963</v>
      </c>
      <c r="D43" s="164"/>
      <c r="E43" s="199">
        <v>29.7</v>
      </c>
      <c r="F43" s="276">
        <v>0</v>
      </c>
      <c r="G43" s="270">
        <v>2382.96</v>
      </c>
      <c r="H43" s="295"/>
      <c r="I43" s="295"/>
      <c r="J43" s="294">
        <v>0</v>
      </c>
      <c r="K43" s="270">
        <v>42.2</v>
      </c>
      <c r="L43" s="296"/>
      <c r="M43" s="297">
        <v>700</v>
      </c>
      <c r="N43" s="363">
        <v>350</v>
      </c>
      <c r="O43" s="363"/>
      <c r="P43" s="270">
        <v>533.94000000000005</v>
      </c>
      <c r="Q43" s="270">
        <v>117.25</v>
      </c>
      <c r="R43" s="490">
        <f t="shared" si="13"/>
        <v>4113.8500000000004</v>
      </c>
      <c r="S43" s="469" t="e">
        <f t="shared" si="14"/>
        <v>#REF!</v>
      </c>
      <c r="T43" s="469" t="e">
        <f>$U$32 + IF($B$2="mil",1,0.0254)*DDR2Specs!$E$9</f>
        <v>#REF!</v>
      </c>
      <c r="U43" s="469" t="e">
        <f>$T$32 + IF($B$2="mil",1,0.0254)*DDR2Specs!$F$9</f>
        <v>#REF!</v>
      </c>
      <c r="V43" s="491" t="e">
        <f t="shared" si="15"/>
        <v>#REF!</v>
      </c>
      <c r="W43" s="492" t="e">
        <f t="shared" si="16"/>
        <v>#REF!</v>
      </c>
      <c r="X43" s="472" t="e">
        <f t="shared" si="17"/>
        <v>#REF!</v>
      </c>
      <c r="Y43" s="473" t="e">
        <f t="shared" si="18"/>
        <v>#REF!</v>
      </c>
      <c r="Z43" s="473" t="e">
        <f t="shared" si="29"/>
        <v>#REF!</v>
      </c>
      <c r="AA43" s="473" t="e">
        <f t="shared" ca="1" si="19"/>
        <v>#NAME?</v>
      </c>
      <c r="AB43" s="473" t="e">
        <f t="shared" si="20"/>
        <v>#REF!</v>
      </c>
      <c r="AC43" s="473" t="e">
        <f t="shared" si="21"/>
        <v>#REF!</v>
      </c>
      <c r="AD43" s="473" t="e">
        <f t="shared" si="22"/>
        <v>#REF!</v>
      </c>
      <c r="AE43" s="473" t="e">
        <f t="shared" si="23"/>
        <v>#REF!</v>
      </c>
      <c r="AF43" s="473" t="e">
        <f t="shared" si="24"/>
        <v>#REF!</v>
      </c>
      <c r="AG43" s="473" t="e">
        <f t="shared" ca="1" si="25"/>
        <v>#NAME?</v>
      </c>
      <c r="AH43" s="473" t="e">
        <f t="shared" si="26"/>
        <v>#REF!</v>
      </c>
      <c r="AI43" s="474" t="e">
        <f t="shared" si="27"/>
        <v>#REF!</v>
      </c>
      <c r="AJ43" s="4" t="e">
        <f t="shared" ca="1" si="28"/>
        <v>#REF!</v>
      </c>
    </row>
    <row r="44" spans="1:37" s="4" customFormat="1" x14ac:dyDescent="0.2">
      <c r="A44" s="214" t="s">
        <v>98</v>
      </c>
      <c r="B44" s="433" t="s">
        <v>487</v>
      </c>
      <c r="C44" s="562">
        <v>397.71653543307087</v>
      </c>
      <c r="D44" s="164"/>
      <c r="E44" s="199">
        <v>29.7</v>
      </c>
      <c r="F44" s="276">
        <v>0</v>
      </c>
      <c r="G44" s="270">
        <v>2329.09</v>
      </c>
      <c r="H44" s="295"/>
      <c r="I44" s="295"/>
      <c r="J44" s="294">
        <v>0</v>
      </c>
      <c r="K44" s="270">
        <v>37.5</v>
      </c>
      <c r="L44" s="296"/>
      <c r="M44" s="297">
        <v>700</v>
      </c>
      <c r="N44" s="363">
        <v>250</v>
      </c>
      <c r="O44" s="363"/>
      <c r="P44" s="270">
        <v>559.79</v>
      </c>
      <c r="Q44" s="270">
        <v>37.24</v>
      </c>
      <c r="R44" s="490">
        <f t="shared" si="13"/>
        <v>3905.8199999999997</v>
      </c>
      <c r="S44" s="469" t="e">
        <f t="shared" si="14"/>
        <v>#REF!</v>
      </c>
      <c r="T44" s="469" t="e">
        <f>$U$32 + IF($B$2="mil",1,0.0254)*DDR2Specs!$E$9</f>
        <v>#REF!</v>
      </c>
      <c r="U44" s="469" t="e">
        <f>$T$32 + IF($B$2="mil",1,0.0254)*DDR2Specs!$F$9</f>
        <v>#REF!</v>
      </c>
      <c r="V44" s="491" t="e">
        <f t="shared" si="15"/>
        <v>#REF!</v>
      </c>
      <c r="W44" s="492" t="e">
        <f t="shared" si="16"/>
        <v>#REF!</v>
      </c>
      <c r="X44" s="472" t="e">
        <f t="shared" si="17"/>
        <v>#REF!</v>
      </c>
      <c r="Y44" s="473" t="e">
        <f t="shared" si="18"/>
        <v>#REF!</v>
      </c>
      <c r="Z44" s="473" t="e">
        <f t="shared" si="29"/>
        <v>#REF!</v>
      </c>
      <c r="AA44" s="473" t="e">
        <f t="shared" ca="1" si="19"/>
        <v>#NAME?</v>
      </c>
      <c r="AB44" s="473" t="e">
        <f t="shared" si="20"/>
        <v>#REF!</v>
      </c>
      <c r="AC44" s="473" t="e">
        <f t="shared" si="21"/>
        <v>#REF!</v>
      </c>
      <c r="AD44" s="473" t="e">
        <f t="shared" si="22"/>
        <v>#REF!</v>
      </c>
      <c r="AE44" s="473" t="e">
        <f t="shared" si="23"/>
        <v>#REF!</v>
      </c>
      <c r="AF44" s="473" t="e">
        <f t="shared" si="24"/>
        <v>#REF!</v>
      </c>
      <c r="AG44" s="473" t="e">
        <f t="shared" ca="1" si="25"/>
        <v>#NAME?</v>
      </c>
      <c r="AH44" s="473" t="e">
        <f t="shared" si="26"/>
        <v>#REF!</v>
      </c>
      <c r="AI44" s="474" t="e">
        <f t="shared" si="27"/>
        <v>#REF!</v>
      </c>
      <c r="AJ44" s="4" t="e">
        <f t="shared" ca="1" si="28"/>
        <v>#REF!</v>
      </c>
    </row>
    <row r="45" spans="1:37" s="4" customFormat="1" x14ac:dyDescent="0.2">
      <c r="A45" s="214" t="s">
        <v>99</v>
      </c>
      <c r="B45" s="433" t="s">
        <v>488</v>
      </c>
      <c r="C45" s="562">
        <v>543.54330708661416</v>
      </c>
      <c r="D45" s="164"/>
      <c r="E45" s="199">
        <v>29.7</v>
      </c>
      <c r="F45" s="276">
        <v>0</v>
      </c>
      <c r="G45" s="270">
        <v>2356.5300000000002</v>
      </c>
      <c r="H45" s="295"/>
      <c r="I45" s="295"/>
      <c r="J45" s="294">
        <v>0</v>
      </c>
      <c r="K45" s="270">
        <v>31.91</v>
      </c>
      <c r="L45" s="296"/>
      <c r="M45" s="297">
        <v>700</v>
      </c>
      <c r="N45" s="363">
        <v>250</v>
      </c>
      <c r="O45" s="363"/>
      <c r="P45" s="270">
        <v>632.15</v>
      </c>
      <c r="Q45" s="270">
        <v>72.760000000000005</v>
      </c>
      <c r="R45" s="490">
        <f t="shared" si="13"/>
        <v>4041.1400000000003</v>
      </c>
      <c r="S45" s="469" t="e">
        <f t="shared" si="14"/>
        <v>#REF!</v>
      </c>
      <c r="T45" s="469" t="e">
        <f>$U$32 + IF($B$2="mil",1,0.0254)*DDR2Specs!$E$9</f>
        <v>#REF!</v>
      </c>
      <c r="U45" s="469" t="e">
        <f>$T$32 + IF($B$2="mil",1,0.0254)*DDR2Specs!$F$9</f>
        <v>#REF!</v>
      </c>
      <c r="V45" s="491" t="e">
        <f t="shared" si="15"/>
        <v>#REF!</v>
      </c>
      <c r="W45" s="492" t="e">
        <f t="shared" si="16"/>
        <v>#REF!</v>
      </c>
      <c r="X45" s="472" t="e">
        <f t="shared" si="17"/>
        <v>#REF!</v>
      </c>
      <c r="Y45" s="473" t="e">
        <f t="shared" si="18"/>
        <v>#REF!</v>
      </c>
      <c r="Z45" s="473" t="e">
        <f t="shared" si="29"/>
        <v>#REF!</v>
      </c>
      <c r="AA45" s="473" t="e">
        <f t="shared" ca="1" si="19"/>
        <v>#NAME?</v>
      </c>
      <c r="AB45" s="473" t="e">
        <f t="shared" si="20"/>
        <v>#REF!</v>
      </c>
      <c r="AC45" s="473" t="e">
        <f t="shared" si="21"/>
        <v>#REF!</v>
      </c>
      <c r="AD45" s="473" t="e">
        <f t="shared" si="22"/>
        <v>#REF!</v>
      </c>
      <c r="AE45" s="473" t="e">
        <f t="shared" si="23"/>
        <v>#REF!</v>
      </c>
      <c r="AF45" s="473" t="e">
        <f t="shared" si="24"/>
        <v>#REF!</v>
      </c>
      <c r="AG45" s="473" t="e">
        <f t="shared" ca="1" si="25"/>
        <v>#NAME?</v>
      </c>
      <c r="AH45" s="473" t="e">
        <f t="shared" si="26"/>
        <v>#REF!</v>
      </c>
      <c r="AI45" s="474" t="e">
        <f t="shared" si="27"/>
        <v>#REF!</v>
      </c>
      <c r="AJ45" s="4" t="e">
        <f t="shared" ca="1" si="28"/>
        <v>#REF!</v>
      </c>
    </row>
    <row r="46" spans="1:37" s="4" customFormat="1" x14ac:dyDescent="0.2">
      <c r="A46" s="214" t="s">
        <v>100</v>
      </c>
      <c r="B46" s="433" t="s">
        <v>489</v>
      </c>
      <c r="C46" s="562">
        <v>492.79527559055117</v>
      </c>
      <c r="D46" s="164"/>
      <c r="E46" s="199">
        <v>29.7</v>
      </c>
      <c r="F46" s="276">
        <v>0</v>
      </c>
      <c r="G46" s="270">
        <v>2564.5700000000002</v>
      </c>
      <c r="H46" s="295"/>
      <c r="I46" s="295"/>
      <c r="J46" s="294">
        <v>0</v>
      </c>
      <c r="K46" s="270">
        <v>37.74</v>
      </c>
      <c r="L46" s="296"/>
      <c r="M46" s="297">
        <v>700</v>
      </c>
      <c r="N46" s="363">
        <v>140</v>
      </c>
      <c r="O46" s="363"/>
      <c r="P46" s="270">
        <v>566.39</v>
      </c>
      <c r="Q46" s="270">
        <v>77.489999999999995</v>
      </c>
      <c r="R46" s="490">
        <f t="shared" si="13"/>
        <v>4078.1499999999996</v>
      </c>
      <c r="S46" s="469" t="e">
        <f t="shared" si="14"/>
        <v>#REF!</v>
      </c>
      <c r="T46" s="469" t="e">
        <f>$U$32 + IF($B$2="mil",1,0.0254)*DDR2Specs!$E$9</f>
        <v>#REF!</v>
      </c>
      <c r="U46" s="469" t="e">
        <f>$T$32 + IF($B$2="mil",1,0.0254)*DDR2Specs!$F$9</f>
        <v>#REF!</v>
      </c>
      <c r="V46" s="491" t="e">
        <f t="shared" si="15"/>
        <v>#REF!</v>
      </c>
      <c r="W46" s="492" t="e">
        <f t="shared" si="16"/>
        <v>#REF!</v>
      </c>
      <c r="X46" s="472" t="e">
        <f t="shared" si="17"/>
        <v>#REF!</v>
      </c>
      <c r="Y46" s="473" t="e">
        <f t="shared" si="18"/>
        <v>#REF!</v>
      </c>
      <c r="Z46" s="473" t="e">
        <f t="shared" si="29"/>
        <v>#REF!</v>
      </c>
      <c r="AA46" s="473" t="e">
        <f t="shared" ca="1" si="19"/>
        <v>#NAME?</v>
      </c>
      <c r="AB46" s="473" t="e">
        <f t="shared" si="20"/>
        <v>#REF!</v>
      </c>
      <c r="AC46" s="473" t="e">
        <f t="shared" si="21"/>
        <v>#REF!</v>
      </c>
      <c r="AD46" s="473" t="e">
        <f t="shared" si="22"/>
        <v>#REF!</v>
      </c>
      <c r="AE46" s="473" t="e">
        <f t="shared" si="23"/>
        <v>#REF!</v>
      </c>
      <c r="AF46" s="473" t="e">
        <f t="shared" si="24"/>
        <v>#REF!</v>
      </c>
      <c r="AG46" s="473" t="e">
        <f t="shared" ca="1" si="25"/>
        <v>#NAME?</v>
      </c>
      <c r="AH46" s="473" t="e">
        <f t="shared" si="26"/>
        <v>#REF!</v>
      </c>
      <c r="AI46" s="474" t="e">
        <f t="shared" si="27"/>
        <v>#REF!</v>
      </c>
      <c r="AJ46" s="4" t="e">
        <f t="shared" ca="1" si="28"/>
        <v>#REF!</v>
      </c>
    </row>
    <row r="47" spans="1:37" s="4" customFormat="1" x14ac:dyDescent="0.2">
      <c r="A47" s="214" t="s">
        <v>101</v>
      </c>
      <c r="B47" s="433" t="s">
        <v>380</v>
      </c>
      <c r="C47" s="562">
        <v>514.48818897637796</v>
      </c>
      <c r="D47" s="164"/>
      <c r="E47" s="199">
        <v>29.7</v>
      </c>
      <c r="F47" s="276">
        <v>0</v>
      </c>
      <c r="G47" s="270">
        <v>2464.5700000000002</v>
      </c>
      <c r="H47" s="295"/>
      <c r="I47" s="295"/>
      <c r="J47" s="294">
        <v>0</v>
      </c>
      <c r="K47" s="270">
        <v>37.74</v>
      </c>
      <c r="L47" s="296"/>
      <c r="M47" s="297">
        <v>700</v>
      </c>
      <c r="N47" s="363">
        <v>120</v>
      </c>
      <c r="O47" s="363"/>
      <c r="P47" s="270">
        <v>566.39</v>
      </c>
      <c r="Q47" s="270">
        <v>77.489999999999995</v>
      </c>
      <c r="R47" s="490">
        <f t="shared" si="13"/>
        <v>3958.1499999999996</v>
      </c>
      <c r="S47" s="469" t="e">
        <f t="shared" si="14"/>
        <v>#REF!</v>
      </c>
      <c r="T47" s="469" t="e">
        <f>$U$32 + IF($B$2="mil",1,0.0254)*DDR2Specs!$E$9</f>
        <v>#REF!</v>
      </c>
      <c r="U47" s="469" t="e">
        <f>$T$32 + IF($B$2="mil",1,0.0254)*DDR2Specs!$F$9</f>
        <v>#REF!</v>
      </c>
      <c r="V47" s="491" t="e">
        <f t="shared" si="15"/>
        <v>#REF!</v>
      </c>
      <c r="W47" s="492" t="e">
        <f t="shared" si="16"/>
        <v>#REF!</v>
      </c>
      <c r="X47" s="472" t="e">
        <f t="shared" si="17"/>
        <v>#REF!</v>
      </c>
      <c r="Y47" s="473" t="e">
        <f t="shared" si="18"/>
        <v>#REF!</v>
      </c>
      <c r="Z47" s="473" t="e">
        <f t="shared" si="29"/>
        <v>#REF!</v>
      </c>
      <c r="AA47" s="473" t="e">
        <f t="shared" ca="1" si="19"/>
        <v>#NAME?</v>
      </c>
      <c r="AB47" s="473" t="e">
        <f t="shared" si="20"/>
        <v>#REF!</v>
      </c>
      <c r="AC47" s="473" t="e">
        <f t="shared" si="21"/>
        <v>#REF!</v>
      </c>
      <c r="AD47" s="473" t="e">
        <f t="shared" si="22"/>
        <v>#REF!</v>
      </c>
      <c r="AE47" s="473" t="e">
        <f t="shared" si="23"/>
        <v>#REF!</v>
      </c>
      <c r="AF47" s="473" t="e">
        <f t="shared" si="24"/>
        <v>#REF!</v>
      </c>
      <c r="AG47" s="473" t="e">
        <f t="shared" ca="1" si="25"/>
        <v>#NAME?</v>
      </c>
      <c r="AH47" s="473" t="e">
        <f t="shared" si="26"/>
        <v>#REF!</v>
      </c>
      <c r="AI47" s="474" t="e">
        <f t="shared" si="27"/>
        <v>#REF!</v>
      </c>
      <c r="AJ47" s="4" t="e">
        <f t="shared" ca="1" si="28"/>
        <v>#REF!</v>
      </c>
    </row>
    <row r="48" spans="1:37" s="4" customFormat="1" ht="11.25" x14ac:dyDescent="0.2">
      <c r="A48" s="180" t="s">
        <v>278</v>
      </c>
      <c r="B48" s="180"/>
      <c r="C48" s="566"/>
      <c r="D48" s="155"/>
      <c r="E48" s="134"/>
      <c r="F48" s="181"/>
      <c r="G48" s="298"/>
      <c r="H48" s="299"/>
      <c r="I48" s="299"/>
      <c r="J48" s="298"/>
      <c r="K48" s="298"/>
      <c r="L48" s="298"/>
      <c r="M48" s="298"/>
      <c r="N48" s="298"/>
      <c r="O48" s="298"/>
      <c r="P48" s="298"/>
      <c r="Q48" s="298"/>
      <c r="R48" s="182"/>
      <c r="S48" s="182"/>
      <c r="T48" s="182"/>
      <c r="U48" s="182"/>
      <c r="V48" s="385"/>
      <c r="W48" s="385"/>
      <c r="X48" s="385"/>
      <c r="Y48" s="493"/>
      <c r="Z48" s="493"/>
      <c r="AA48" s="155"/>
      <c r="AB48" s="155"/>
      <c r="AC48" s="155"/>
      <c r="AD48" s="155"/>
      <c r="AE48" s="155"/>
      <c r="AF48" s="489"/>
      <c r="AG48" s="155"/>
      <c r="AH48" s="155"/>
      <c r="AI48" s="494"/>
    </row>
    <row r="49" spans="1:51" s="4" customFormat="1" x14ac:dyDescent="0.2">
      <c r="A49" s="161" t="s">
        <v>102</v>
      </c>
      <c r="B49" s="433" t="s">
        <v>490</v>
      </c>
      <c r="C49" s="562">
        <v>428.58267716535431</v>
      </c>
      <c r="D49" s="164"/>
      <c r="E49" s="199">
        <v>29.7</v>
      </c>
      <c r="F49" s="199">
        <v>0</v>
      </c>
      <c r="G49" s="270">
        <v>2650.64</v>
      </c>
      <c r="H49" s="295"/>
      <c r="I49" s="295"/>
      <c r="J49" s="301"/>
      <c r="K49" s="297">
        <v>40</v>
      </c>
      <c r="L49" s="296"/>
      <c r="M49" s="297">
        <v>600</v>
      </c>
      <c r="N49" s="363">
        <v>40.28</v>
      </c>
      <c r="O49" s="363"/>
      <c r="P49" s="270">
        <v>570.59</v>
      </c>
      <c r="Q49" s="297">
        <v>72.239999999999995</v>
      </c>
      <c r="R49" s="490">
        <f t="shared" si="13"/>
        <v>3963.45</v>
      </c>
      <c r="S49" s="469" t="e">
        <f t="shared" si="14"/>
        <v>#REF!</v>
      </c>
      <c r="T49" s="469" t="e">
        <f>$U$32 + IF($B$2="mil",1,0.0254)*DDR2Specs!$E$9</f>
        <v>#REF!</v>
      </c>
      <c r="U49" s="469" t="e">
        <f>$T$32 + IF($B$2="mil",1,0.0254)*DDR2Specs!$F$9</f>
        <v>#REF!</v>
      </c>
      <c r="V49" s="491" t="e">
        <f t="shared" si="15"/>
        <v>#REF!</v>
      </c>
      <c r="W49" s="492" t="e">
        <f t="shared" si="16"/>
        <v>#REF!</v>
      </c>
      <c r="X49" s="472" t="e">
        <f>IF($E49&lt;=IF($B$2="mil",1,0.0254)*50,"Pass",IF($B$2="mil",1,0.0254)*50-$E49)</f>
        <v>#REF!</v>
      </c>
      <c r="Y49" s="473" t="e">
        <f t="shared" si="18"/>
        <v>#REF!</v>
      </c>
      <c r="Z49" s="473" t="e">
        <f t="shared" si="29"/>
        <v>#REF!</v>
      </c>
      <c r="AA49" s="473" t="e">
        <f ca="1">CheckLength2(IF($B$2="mil",1,0.0254)*1200,J49,K49,0)</f>
        <v>#NAME?</v>
      </c>
      <c r="AB49" s="473" t="e">
        <f>IF(M49&lt;=IF($B$2="mil",1,0.0254)*2000,"Pass",IF($B$2="mil",1,0.0254)*2000-M49)</f>
        <v>#REF!</v>
      </c>
      <c r="AC49" s="473" t="e">
        <f>IF(N49&lt;=IF($B$2="mil",1,0.0254)*1000,"Pass",IF($B$2="mil",1,0.0254)*1000-N49)</f>
        <v>#REF!</v>
      </c>
      <c r="AD49" s="473" t="e">
        <f>IF(MAX(N49,P101)-MIN(N49,P101)&lt;=IF($B$2="mil",1,0.0254)*50,"Pass",MAX(N49,P101)-MIN(N49,P101)-IF($B$2="mil",1,0.0254)*50)</f>
        <v>#REF!</v>
      </c>
      <c r="AE49" s="473" t="e">
        <f>IF($P49&lt;=IF($B$2="mil",1,0.0254)*1000,"Pass",IF($B$2="mil",1,0.0254)*1000-$P49)</f>
        <v>#REF!</v>
      </c>
      <c r="AF49" s="473" t="e">
        <f>IF(MAX(P49,P127)-MIN(P49,P127)&lt;=IF($B$2="mil",1,0.0254)*50,"Pass",MAX(P49,P127)-MIN(P49,P127)-IF($B$2="mil",1,0.0254)*50)</f>
        <v>#REF!</v>
      </c>
      <c r="AG49" s="473" t="e">
        <f ca="1">CheckLength2(IF($B$2="mil",1,0.0254)*1200,P49,Q49,0)</f>
        <v>#NAME?</v>
      </c>
      <c r="AH49" s="473" t="e">
        <f>IF(AND($R49&gt;=IF($B$2="mil",1,0.0254)*500, $R49&lt;=IF($B$2="mil",1,0.0254)*6500),"Pass",IF($B$2="mil",1,0.0254)*6500-$R49)</f>
        <v>#REF!</v>
      </c>
      <c r="AI49" s="474" t="e">
        <f>IF(AND($S49&gt;=IF($B$2="mil",1,0.0254)*500, $S49&lt;=IF($B$2="mil",1,0.0254)*7000),"Pass",IF($B$2="mil",1,0.0254)*7000-$S49)</f>
        <v>#REF!</v>
      </c>
      <c r="AJ49" s="4" t="e">
        <f t="shared" ca="1" si="28"/>
        <v>#REF!</v>
      </c>
    </row>
    <row r="50" spans="1:51" s="4" customFormat="1" x14ac:dyDescent="0.2">
      <c r="A50" s="215" t="s">
        <v>103</v>
      </c>
      <c r="B50" s="433" t="s">
        <v>414</v>
      </c>
      <c r="C50" s="562">
        <v>331.69291338582678</v>
      </c>
      <c r="D50" s="236"/>
      <c r="E50" s="199">
        <v>29.7</v>
      </c>
      <c r="F50" s="286">
        <v>0</v>
      </c>
      <c r="G50" s="270">
        <v>2422.4699999999998</v>
      </c>
      <c r="H50" s="295"/>
      <c r="I50" s="295"/>
      <c r="J50" s="301">
        <v>0</v>
      </c>
      <c r="K50" s="297">
        <v>37.5</v>
      </c>
      <c r="L50" s="296"/>
      <c r="M50" s="297">
        <v>600</v>
      </c>
      <c r="N50" s="363">
        <v>313.86</v>
      </c>
      <c r="O50" s="363"/>
      <c r="P50" s="270">
        <v>585.74</v>
      </c>
      <c r="Q50" s="297">
        <v>51.87</v>
      </c>
      <c r="R50" s="490">
        <f t="shared" si="13"/>
        <v>4003.64</v>
      </c>
      <c r="S50" s="469" t="e">
        <f t="shared" si="14"/>
        <v>#REF!</v>
      </c>
      <c r="T50" s="469" t="e">
        <f>$U$32 + IF($B$2="mil",1,0.0254)*DDR2Specs!$E$9</f>
        <v>#REF!</v>
      </c>
      <c r="U50" s="469" t="e">
        <f>$T$32 + IF($B$2="mil",1,0.0254)*DDR2Specs!$F$9</f>
        <v>#REF!</v>
      </c>
      <c r="V50" s="491" t="e">
        <f t="shared" si="15"/>
        <v>#REF!</v>
      </c>
      <c r="W50" s="492" t="e">
        <f t="shared" si="16"/>
        <v>#REF!</v>
      </c>
      <c r="X50" s="472" t="e">
        <f>IF($E50&lt;=IF($B$2="mil",1,0.0254)*50,"Pass",IF($B$2="mil",1,0.0254)*50-$E50)</f>
        <v>#REF!</v>
      </c>
      <c r="Y50" s="473" t="e">
        <f t="shared" si="18"/>
        <v>#REF!</v>
      </c>
      <c r="Z50" s="473" t="e">
        <f t="shared" si="29"/>
        <v>#REF!</v>
      </c>
      <c r="AA50" s="473" t="e">
        <f ca="1">CheckLength2(IF($B$2="mil",1,0.0254)*1200,J50,K50,0)</f>
        <v>#NAME?</v>
      </c>
      <c r="AB50" s="473" t="e">
        <f>IF(M50&lt;=IF($B$2="mil",1,0.0254)*2000,"Pass",IF($B$2="mil",1,0.0254)*2000-M50)</f>
        <v>#REF!</v>
      </c>
      <c r="AC50" s="473" t="e">
        <f>IF(N50&lt;=IF($B$2="mil",1,0.0254)*1000,"Pass",IF($B$2="mil",1,0.0254)*1000-N50)</f>
        <v>#REF!</v>
      </c>
      <c r="AD50" s="473" t="e">
        <f>IF(MAX(N50,P102)-MIN(N50,P102)&lt;=IF($B$2="mil",1,0.0254)*50,"Pass",MAX(N50,P102)-MIN(N50,P102)-IF($B$2="mil",1,0.0254)*50)</f>
        <v>#REF!</v>
      </c>
      <c r="AE50" s="473" t="e">
        <f>IF($P50&lt;=IF($B$2="mil",1,0.0254)*1000,"Pass",IF($B$2="mil",1,0.0254)*1000-$P50)</f>
        <v>#REF!</v>
      </c>
      <c r="AF50" s="473" t="e">
        <f>IF(MAX(P50,P128)-MIN(P50,P128)&lt;=IF($B$2="mil",1,0.0254)*50,"Pass",MAX(P50,P128)-MIN(P50,P128)-IF($B$2="mil",1,0.0254)*50)</f>
        <v>#REF!</v>
      </c>
      <c r="AG50" s="473" t="e">
        <f ca="1">CheckLength2(IF($B$2="mil",1,0.0254)*1200,P50,Q50,0)</f>
        <v>#NAME?</v>
      </c>
      <c r="AH50" s="473" t="e">
        <f>IF(AND($R50&gt;=IF($B$2="mil",1,0.0254)*500, $R50&lt;=IF($B$2="mil",1,0.0254)*6500),"Pass",IF($B$2="mil",1,0.0254)*6500-$R50)</f>
        <v>#REF!</v>
      </c>
      <c r="AI50" s="474" t="e">
        <f>IF(AND($S50&gt;=IF($B$2="mil",1,0.0254)*500, $S50&lt;=IF($B$2="mil",1,0.0254)*7000),"Pass",IF($B$2="mil",1,0.0254)*7000-$S50)</f>
        <v>#REF!</v>
      </c>
      <c r="AJ50" s="4" t="e">
        <f t="shared" ca="1" si="28"/>
        <v>#REF!</v>
      </c>
    </row>
    <row r="51" spans="1:51" s="4" customFormat="1" x14ac:dyDescent="0.2">
      <c r="A51" s="215" t="s">
        <v>104</v>
      </c>
      <c r="B51" s="433" t="s">
        <v>491</v>
      </c>
      <c r="C51" s="562">
        <v>384.5275590551181</v>
      </c>
      <c r="D51" s="190"/>
      <c r="E51" s="199">
        <v>29.7</v>
      </c>
      <c r="F51" s="286">
        <v>0</v>
      </c>
      <c r="G51" s="270">
        <v>2101.89</v>
      </c>
      <c r="H51" s="295"/>
      <c r="I51" s="295"/>
      <c r="J51" s="301">
        <v>0</v>
      </c>
      <c r="K51" s="297">
        <v>40</v>
      </c>
      <c r="L51" s="296"/>
      <c r="M51" s="297">
        <v>600</v>
      </c>
      <c r="N51" s="363">
        <v>477.88</v>
      </c>
      <c r="O51" s="363"/>
      <c r="P51" s="270">
        <v>541.1</v>
      </c>
      <c r="Q51" s="297">
        <v>74.75</v>
      </c>
      <c r="R51" s="490">
        <f t="shared" si="13"/>
        <v>3825.3199999999997</v>
      </c>
      <c r="S51" s="469" t="e">
        <f t="shared" si="14"/>
        <v>#REF!</v>
      </c>
      <c r="T51" s="469" t="e">
        <f>$U$32 + IF($B$2="mil",1,0.0254)*DDR2Specs!$E$9</f>
        <v>#REF!</v>
      </c>
      <c r="U51" s="469" t="e">
        <f>$T$32 + IF($B$2="mil",1,0.0254)*DDR2Specs!$F$9</f>
        <v>#REF!</v>
      </c>
      <c r="V51" s="491" t="e">
        <f t="shared" si="15"/>
        <v>#REF!</v>
      </c>
      <c r="W51" s="492" t="e">
        <f t="shared" si="16"/>
        <v>#REF!</v>
      </c>
      <c r="X51" s="472" t="e">
        <f>IF($E51&lt;=IF($B$2="mil",1,0.0254)*50,"Pass",IF($B$2="mil",1,0.0254)*50-$E51)</f>
        <v>#REF!</v>
      </c>
      <c r="Y51" s="473" t="e">
        <f t="shared" si="18"/>
        <v>#REF!</v>
      </c>
      <c r="Z51" s="473" t="e">
        <f t="shared" si="29"/>
        <v>#REF!</v>
      </c>
      <c r="AA51" s="473" t="e">
        <f ca="1">CheckLength2(IF($B$2="mil",1,0.0254)*1200,J51,K51,0)</f>
        <v>#NAME?</v>
      </c>
      <c r="AB51" s="473" t="e">
        <f>IF(M51&lt;=IF($B$2="mil",1,0.0254)*2000,"Pass",IF($B$2="mil",1,0.0254)*2000-M51)</f>
        <v>#REF!</v>
      </c>
      <c r="AC51" s="473" t="e">
        <f>IF(N51&lt;=IF($B$2="mil",1,0.0254)*1000,"Pass",IF($B$2="mil",1,0.0254)*1000-N51)</f>
        <v>#REF!</v>
      </c>
      <c r="AD51" s="473" t="e">
        <f>IF(MAX(N51,P103)-MIN(N51,P103)&lt;=IF($B$2="mil",1,0.0254)*50,"Pass",MAX(N51,P103)-MIN(N51,P103)-IF($B$2="mil",1,0.0254)*50)</f>
        <v>#REF!</v>
      </c>
      <c r="AE51" s="473" t="e">
        <f>IF($P51&lt;=IF($B$2="mil",1,0.0254)*1000,"Pass",IF($B$2="mil",1,0.0254)*1000-$P51)</f>
        <v>#REF!</v>
      </c>
      <c r="AF51" s="473" t="e">
        <f>IF(MAX(P51,P129)-MIN(P51,P129)&lt;=IF($B$2="mil",1,0.0254)*50,"Pass",MAX(P51,P129)-MIN(P51,P129)-IF($B$2="mil",1,0.0254)*50)</f>
        <v>#REF!</v>
      </c>
      <c r="AG51" s="473" t="e">
        <f ca="1">CheckLength2(IF($B$2="mil",1,0.0254)*1200,P51,Q51,0)</f>
        <v>#NAME?</v>
      </c>
      <c r="AH51" s="473" t="e">
        <f>IF(AND($R51&gt;=IF($B$2="mil",1,0.0254)*500, $R51&lt;=IF($B$2="mil",1,0.0254)*6500),"Pass",IF($B$2="mil",1,0.0254)*6500-$R51)</f>
        <v>#REF!</v>
      </c>
      <c r="AI51" s="474" t="e">
        <f>IF(AND($S51&gt;=IF($B$2="mil",1,0.0254)*500, $S51&lt;=IF($B$2="mil",1,0.0254)*7000),"Pass",IF($B$2="mil",1,0.0254)*7000-$S51)</f>
        <v>#REF!</v>
      </c>
      <c r="AJ51" s="4" t="e">
        <f t="shared" ca="1" si="28"/>
        <v>#REF!</v>
      </c>
    </row>
    <row r="52" spans="1:51" s="4" customFormat="1" ht="11.25" x14ac:dyDescent="0.2">
      <c r="A52" s="180" t="s">
        <v>279</v>
      </c>
      <c r="B52" s="180"/>
      <c r="C52" s="566"/>
      <c r="D52" s="155"/>
      <c r="E52" s="134"/>
      <c r="F52" s="181"/>
      <c r="G52" s="298"/>
      <c r="H52" s="299"/>
      <c r="I52" s="299"/>
      <c r="J52" s="298"/>
      <c r="K52" s="298"/>
      <c r="L52" s="298"/>
      <c r="M52" s="298"/>
      <c r="N52" s="298"/>
      <c r="O52" s="298"/>
      <c r="P52" s="298"/>
      <c r="Q52" s="298"/>
      <c r="R52" s="182"/>
      <c r="S52" s="182"/>
      <c r="T52" s="182"/>
      <c r="U52" s="182"/>
      <c r="V52" s="385"/>
      <c r="W52" s="385"/>
      <c r="X52" s="385"/>
      <c r="Y52" s="493"/>
      <c r="Z52" s="493"/>
      <c r="AA52" s="385"/>
      <c r="AB52" s="155"/>
      <c r="AC52" s="385"/>
      <c r="AD52" s="385"/>
      <c r="AE52" s="385"/>
      <c r="AF52" s="493"/>
      <c r="AG52" s="385"/>
      <c r="AH52" s="385"/>
      <c r="AI52" s="494"/>
    </row>
    <row r="53" spans="1:51" s="4" customFormat="1" x14ac:dyDescent="0.2">
      <c r="A53" s="161" t="s">
        <v>106</v>
      </c>
      <c r="B53" s="433" t="s">
        <v>476</v>
      </c>
      <c r="C53" s="562">
        <v>462.71653543307087</v>
      </c>
      <c r="D53" s="164"/>
      <c r="E53" s="199">
        <v>29.7</v>
      </c>
      <c r="F53" s="286"/>
      <c r="G53" s="270">
        <v>2150.64</v>
      </c>
      <c r="H53" s="295"/>
      <c r="I53" s="295"/>
      <c r="J53" s="301"/>
      <c r="K53" s="297">
        <v>32.5</v>
      </c>
      <c r="L53" s="296"/>
      <c r="M53" s="297">
        <v>700</v>
      </c>
      <c r="N53" s="363">
        <v>327.79</v>
      </c>
      <c r="O53" s="363"/>
      <c r="P53" s="270">
        <v>564.66</v>
      </c>
      <c r="Q53" s="297">
        <v>28.02</v>
      </c>
      <c r="R53" s="490">
        <f>SUM($E53:$G53,$M53,$P53,$N53,$Q53)</f>
        <v>3800.8099999999995</v>
      </c>
      <c r="S53" s="469" t="e">
        <f t="shared" si="14"/>
        <v>#REF!</v>
      </c>
      <c r="T53" s="469" t="e">
        <f>$U$32 + IF($B$2="mil",1,0.0254)*DDR2Specs!$E$9</f>
        <v>#REF!</v>
      </c>
      <c r="U53" s="469" t="e">
        <f>$T$32 + IF($B$2="mil",1,0.0254)*DDR2Specs!$F$9</f>
        <v>#REF!</v>
      </c>
      <c r="V53" s="491" t="e">
        <f t="shared" si="15"/>
        <v>#REF!</v>
      </c>
      <c r="W53" s="492" t="e">
        <f t="shared" si="16"/>
        <v>#REF!</v>
      </c>
      <c r="X53" s="472" t="e">
        <f>IF($E53&lt;=IF($B$2="mil",1,0.0254)*50,"Pass",IF($B$2="mil",1,0.0254)*50-$E53)</f>
        <v>#REF!</v>
      </c>
      <c r="Y53" s="473" t="e">
        <f t="shared" si="18"/>
        <v>#REF!</v>
      </c>
      <c r="Z53" s="473" t="e">
        <f t="shared" si="29"/>
        <v>#REF!</v>
      </c>
      <c r="AA53" s="473" t="e">
        <f ca="1">CheckLength2(IF($B$2="mil",1,0.0254)*1200,J53,K53,0)</f>
        <v>#NAME?</v>
      </c>
      <c r="AB53" s="473" t="e">
        <f>IF(M53&lt;=IF($B$2="mil",1,0.0254)*2000,"Pass",IF($B$2="mil",1,0.0254)*2000-M53)</f>
        <v>#REF!</v>
      </c>
      <c r="AC53" s="473" t="e">
        <f>IF(N53&lt;=IF($B$2="mil",1,0.0254)*1000,"Pass",IF($B$2="mil",1,0.0254)*1000-N53)</f>
        <v>#REF!</v>
      </c>
      <c r="AD53" s="473" t="e">
        <f>IF(MAX(N53,P105)-MIN(N53,P105)&lt;=IF($B$2="mil",1,0.0254)*50,"Pass",MAX(N53,P105)-MIN(N53,P105)-IF($B$2="mil",1,0.0254)*50)</f>
        <v>#REF!</v>
      </c>
      <c r="AE53" s="473" t="e">
        <f>IF($P53&lt;=IF($B$2="mil",1,0.0254)*1000,"Pass",IF($B$2="mil",1,0.0254)*1000-$P53)</f>
        <v>#REF!</v>
      </c>
      <c r="AF53" s="473" t="e">
        <f>IF(MAX(P53,P131)-MIN(P53,P131)&lt;=IF($B$2="mil",1,0.0254)*50,"Pass",MAX(P53,P131)-MIN(P53,P131)-IF($B$2="mil",1,0.0254)*50)</f>
        <v>#REF!</v>
      </c>
      <c r="AG53" s="473" t="e">
        <f ca="1">CheckLength2(IF($B$2="mil",1,0.0254)*1200,P53,Q53,0)</f>
        <v>#NAME?</v>
      </c>
      <c r="AH53" s="473" t="e">
        <f>IF(AND($R53&gt;=IF($B$2="mil",1,0.0254)*500, $R53&lt;=IF($B$2="mil",1,0.0254)*6500),"Pass",IF($B$2="mil",1,0.0254)*6500-$R53)</f>
        <v>#REF!</v>
      </c>
      <c r="AI53" s="474" t="e">
        <f>IF(AND($S53&gt;=IF($B$2="mil",1,0.0254)*500, $S53&lt;=IF($B$2="mil",1,0.0254)*7000),"Pass",IF($B$2="mil",1,0.0254)*7000-$S53)</f>
        <v>#REF!</v>
      </c>
      <c r="AJ53" s="4" t="e">
        <f t="shared" ca="1" si="28"/>
        <v>#REF!</v>
      </c>
    </row>
    <row r="54" spans="1:51" s="4" customFormat="1" x14ac:dyDescent="0.2">
      <c r="A54" s="214" t="s">
        <v>107</v>
      </c>
      <c r="B54" s="433" t="s">
        <v>492</v>
      </c>
      <c r="C54" s="562">
        <v>452.16535433070862</v>
      </c>
      <c r="D54" s="164"/>
      <c r="E54" s="199">
        <v>29.7</v>
      </c>
      <c r="F54" s="286"/>
      <c r="G54" s="270">
        <v>2222.4699999999998</v>
      </c>
      <c r="H54" s="295"/>
      <c r="I54" s="295"/>
      <c r="J54" s="301"/>
      <c r="K54" s="297">
        <v>40</v>
      </c>
      <c r="L54" s="296"/>
      <c r="M54" s="297">
        <v>700</v>
      </c>
      <c r="N54" s="363">
        <v>251.98</v>
      </c>
      <c r="O54" s="363"/>
      <c r="P54" s="270">
        <v>578.77</v>
      </c>
      <c r="Q54" s="297">
        <v>51.88</v>
      </c>
      <c r="R54" s="490">
        <f t="shared" si="13"/>
        <v>3834.7999999999997</v>
      </c>
      <c r="S54" s="469" t="e">
        <f t="shared" si="14"/>
        <v>#REF!</v>
      </c>
      <c r="T54" s="469" t="e">
        <f>$U$32 + IF($B$2="mil",1,0.0254)*DDR2Specs!$E$9</f>
        <v>#REF!</v>
      </c>
      <c r="U54" s="469" t="e">
        <f>$T$32 + IF($B$2="mil",1,0.0254)*DDR2Specs!$F$9</f>
        <v>#REF!</v>
      </c>
      <c r="V54" s="491" t="e">
        <f t="shared" si="15"/>
        <v>#REF!</v>
      </c>
      <c r="W54" s="492" t="e">
        <f t="shared" si="16"/>
        <v>#REF!</v>
      </c>
      <c r="X54" s="472" t="e">
        <f>IF($E54&lt;=IF($B$2="mil",1,0.0254)*50,"Pass",IF($B$2="mil",1,0.0254)*50-$E54)</f>
        <v>#REF!</v>
      </c>
      <c r="Y54" s="473" t="e">
        <f t="shared" si="18"/>
        <v>#REF!</v>
      </c>
      <c r="Z54" s="473" t="e">
        <f t="shared" si="29"/>
        <v>#REF!</v>
      </c>
      <c r="AA54" s="473" t="e">
        <f ca="1">CheckLength2(IF($B$2="mil",1,0.0254)*1200,J54,K54,0)</f>
        <v>#NAME?</v>
      </c>
      <c r="AB54" s="473" t="e">
        <f>IF(M54&lt;=IF($B$2="mil",1,0.0254)*2000,"Pass",IF($B$2="mil",1,0.0254)*2000-M54)</f>
        <v>#REF!</v>
      </c>
      <c r="AC54" s="473" t="e">
        <f>IF(N54&lt;=IF($B$2="mil",1,0.0254)*1000,"Pass",IF($B$2="mil",1,0.0254)*1000-N54)</f>
        <v>#REF!</v>
      </c>
      <c r="AD54" s="473" t="e">
        <f>IF(MAX(N54,P106)-MIN(N54,P106)&lt;=IF($B$2="mil",1,0.0254)*50,"Pass",MAX(N54,P106)-MIN(N54,P106)-IF($B$2="mil",1,0.0254)*50)</f>
        <v>#REF!</v>
      </c>
      <c r="AE54" s="473" t="e">
        <f>IF($P54&lt;=IF($B$2="mil",1,0.0254)*1000,"Pass",IF($B$2="mil",1,0.0254)*1000-$P54)</f>
        <v>#REF!</v>
      </c>
      <c r="AF54" s="473" t="e">
        <f>IF(MAX(P54,P132)-MIN(P54,P132)&lt;=IF($B$2="mil",1,0.0254)*50,"Pass",MAX(P54,P132)-MIN(P54,P132)-IF($B$2="mil",1,0.0254)*50)</f>
        <v>#REF!</v>
      </c>
      <c r="AG54" s="473" t="e">
        <f ca="1">CheckLength2(IF($B$2="mil",1,0.0254)*1200,P54,Q54,0)</f>
        <v>#NAME?</v>
      </c>
      <c r="AH54" s="473" t="e">
        <f>IF(AND($R54&gt;=IF($B$2="mil",1,0.0254)*500, $R54&lt;=IF($B$2="mil",1,0.0254)*6500),"Pass",IF($B$2="mil",1,0.0254)*6500-$R54)</f>
        <v>#REF!</v>
      </c>
      <c r="AI54" s="474" t="e">
        <f>IF(AND($S54&gt;=IF($B$2="mil",1,0.0254)*500, $S54&lt;=IF($B$2="mil",1,0.0254)*7000),"Pass",IF($B$2="mil",1,0.0254)*7000-$S54)</f>
        <v>#REF!</v>
      </c>
      <c r="AJ54" s="4" t="e">
        <f t="shared" ca="1" si="28"/>
        <v>#REF!</v>
      </c>
    </row>
    <row r="55" spans="1:51" s="4" customFormat="1" x14ac:dyDescent="0.2">
      <c r="A55" s="214" t="s">
        <v>108</v>
      </c>
      <c r="B55" s="433" t="s">
        <v>477</v>
      </c>
      <c r="C55" s="562">
        <v>581.1811023622048</v>
      </c>
      <c r="D55" s="178"/>
      <c r="E55" s="199">
        <v>29.7</v>
      </c>
      <c r="F55" s="286"/>
      <c r="G55" s="270">
        <v>2163.89</v>
      </c>
      <c r="H55" s="295"/>
      <c r="I55" s="295"/>
      <c r="J55" s="301"/>
      <c r="K55" s="297">
        <v>40</v>
      </c>
      <c r="L55" s="296"/>
      <c r="M55" s="297">
        <v>700</v>
      </c>
      <c r="N55" s="363">
        <v>321.8</v>
      </c>
      <c r="O55" s="363"/>
      <c r="P55" s="270">
        <v>574.72</v>
      </c>
      <c r="Q55" s="297">
        <v>30.98</v>
      </c>
      <c r="R55" s="490">
        <f t="shared" si="13"/>
        <v>3821.0899999999997</v>
      </c>
      <c r="S55" s="469" t="e">
        <f t="shared" si="14"/>
        <v>#REF!</v>
      </c>
      <c r="T55" s="469" t="e">
        <f>$U$32 + IF($B$2="mil",1,0.0254)*DDR2Specs!$E$9</f>
        <v>#REF!</v>
      </c>
      <c r="U55" s="469" t="e">
        <f>$T$32 + IF($B$2="mil",1,0.0254)*DDR2Specs!$F$9</f>
        <v>#REF!</v>
      </c>
      <c r="V55" s="491" t="e">
        <f t="shared" si="15"/>
        <v>#REF!</v>
      </c>
      <c r="W55" s="492" t="e">
        <f t="shared" si="16"/>
        <v>#REF!</v>
      </c>
      <c r="X55" s="472" t="e">
        <f>IF($E55&lt;=IF($B$2="mil",1,0.0254)*50,"Pass",IF($B$2="mil",1,0.0254)*50-$E55)</f>
        <v>#REF!</v>
      </c>
      <c r="Y55" s="473" t="e">
        <f t="shared" si="18"/>
        <v>#REF!</v>
      </c>
      <c r="Z55" s="473" t="e">
        <f t="shared" si="29"/>
        <v>#REF!</v>
      </c>
      <c r="AA55" s="473" t="e">
        <f ca="1">CheckLength2(IF($B$2="mil",1,0.0254)*1200,J55,K55,0)</f>
        <v>#NAME?</v>
      </c>
      <c r="AB55" s="473" t="e">
        <f>IF(M55&lt;=IF($B$2="mil",1,0.0254)*2000,"Pass",IF($B$2="mil",1,0.0254)*2000-M55)</f>
        <v>#REF!</v>
      </c>
      <c r="AC55" s="473" t="e">
        <f>IF(N55&lt;=IF($B$2="mil",1,0.0254)*1000,"Pass",IF($B$2="mil",1,0.0254)*1000-N55)</f>
        <v>#REF!</v>
      </c>
      <c r="AD55" s="473" t="e">
        <f>IF(MAX(N55,P107)-MIN(N55,P107)&lt;=IF($B$2="mil",1,0.0254)*50,"Pass",MAX(N55,P107)-MIN(N55,P107)-IF($B$2="mil",1,0.0254)*50)</f>
        <v>#REF!</v>
      </c>
      <c r="AE55" s="473" t="e">
        <f>IF($P55&lt;=IF($B$2="mil",1,0.0254)*1000,"Pass",IF($B$2="mil",1,0.0254)*1000-$P55)</f>
        <v>#REF!</v>
      </c>
      <c r="AF55" s="473" t="e">
        <f>IF(MAX(P55,P133)-MIN(P55,P133)&lt;=IF($B$2="mil",1,0.0254)*50,"Pass",MAX(P55,P133)-MIN(P55,P133)-IF($B$2="mil",1,0.0254)*50)</f>
        <v>#REF!</v>
      </c>
      <c r="AG55" s="473" t="e">
        <f ca="1">CheckLength2(IF($B$2="mil",1,0.0254)*1200,P55,Q55,0)</f>
        <v>#NAME?</v>
      </c>
      <c r="AH55" s="473" t="e">
        <f>IF(AND($R55&gt;=IF($B$2="mil",1,0.0254)*500, $R55&lt;=IF($B$2="mil",1,0.0254)*6500),"Pass",IF($B$2="mil",1,0.0254)*6500-$R55)</f>
        <v>#REF!</v>
      </c>
      <c r="AI55" s="474" t="e">
        <f>IF(AND($S55&gt;=IF($B$2="mil",1,0.0254)*500, $S55&lt;=IF($B$2="mil",1,0.0254)*7000),"Pass",IF($B$2="mil",1,0.0254)*7000-$S55)</f>
        <v>#REF!</v>
      </c>
      <c r="AJ55" s="4" t="e">
        <f t="shared" ca="1" si="28"/>
        <v>#REF!</v>
      </c>
    </row>
    <row r="56" spans="1:51" ht="25.5" x14ac:dyDescent="0.35">
      <c r="A56" s="39" t="s">
        <v>57</v>
      </c>
      <c r="K56" s="49"/>
      <c r="P56" s="289" t="s">
        <v>494</v>
      </c>
      <c r="Q56" s="290" t="s">
        <v>436</v>
      </c>
      <c r="R56" s="495" t="e">
        <f>"Total MB Length to U2 (L0+L1+L2+L5+L6-1+L8-2) ["&amp;$B$2&amp;"]"</f>
        <v>#REF!</v>
      </c>
      <c r="S56" s="495" t="e">
        <f>"Total Pad to Pin U2 (P1+L0+L1+L2+L5+L6-1+L8-2) ["&amp;$B$2&amp;"]"</f>
        <v>#REF!</v>
      </c>
      <c r="T56" s="496" t="e">
        <f>"Target Min Length to U2
["&amp;$B$2&amp;"]"</f>
        <v>#REF!</v>
      </c>
      <c r="U56" s="497" t="e">
        <f>"Target Max Length to U2 
["&amp;$B$2&amp;"]"</f>
        <v>#REF!</v>
      </c>
      <c r="V56" s="498" t="e">
        <f>"Routed Too Short to U2 [" &amp;$B$2&amp;"]"</f>
        <v>#REF!</v>
      </c>
      <c r="W56" s="496" t="e">
        <f>"Routed Too Long to U2 [" &amp;$B$2&amp;"]"</f>
        <v>#REF!</v>
      </c>
      <c r="AF56" s="499" t="s">
        <v>494</v>
      </c>
      <c r="AG56" s="500" t="e">
        <f>"L8-2 Length Test (&lt;=" &amp; IF($B$2="mil",1,0.0254)*200&amp;$B$2&amp;") or (L6-1+L8-2&lt;= "&amp;IF($B$2="mil",1,0.0254)*1200&amp;$B$2&amp;")"</f>
        <v>#REF!</v>
      </c>
      <c r="AH56" s="497" t="e">
        <f>"Total Length to U2 (L0+L1+L2+L5+L6-1+L8-2)Test
 ("&amp;IF($B$2="mil",1,0.0254)*500&amp;"-"&amp;IF($B$2="mil",1,0.0254)*6500&amp;IF($B$2="mil","mil","mm")&amp;")"</f>
        <v>#REF!</v>
      </c>
      <c r="AI56" s="497" t="e">
        <f>"Total Length to U2 (P1+L0+L1+L2+L5+L6-1+L8-2) Test
 (&lt;="&amp;IF($B$2="mil",1,25.4)*7000&amp;IF($B$2="mil","mil","mm")&amp;")"</f>
        <v>#REF!</v>
      </c>
      <c r="AY56" s="203"/>
    </row>
    <row r="57" spans="1:51" x14ac:dyDescent="0.2">
      <c r="P57" s="134" t="s">
        <v>258</v>
      </c>
      <c r="Q57" s="135"/>
      <c r="R57" s="135"/>
      <c r="S57" s="135"/>
      <c r="T57" s="135"/>
      <c r="U57" s="135"/>
      <c r="V57" s="135"/>
      <c r="W57" s="135"/>
      <c r="AF57" s="415" t="s">
        <v>258</v>
      </c>
      <c r="AG57" s="135"/>
      <c r="AH57" s="135"/>
      <c r="AI57" s="501"/>
      <c r="AR57" s="203"/>
      <c r="AY57" s="203"/>
    </row>
    <row r="58" spans="1:51" x14ac:dyDescent="0.2">
      <c r="P58" s="235" t="s">
        <v>262</v>
      </c>
      <c r="Q58" s="143"/>
      <c r="R58" s="143"/>
      <c r="S58" s="502" t="s">
        <v>275</v>
      </c>
      <c r="T58" s="145" t="e">
        <f>MIN('DDR2 Clocks - 2L'!$S$5:$S$6)</f>
        <v>#REF!</v>
      </c>
      <c r="U58" s="486" t="e">
        <f>MAX('DDR2 Clocks - 2L'!$S$5:$S$6)</f>
        <v>#REF!</v>
      </c>
      <c r="V58" s="487"/>
      <c r="W58" s="145"/>
      <c r="AF58" s="140" t="s">
        <v>262</v>
      </c>
      <c r="AG58" s="483"/>
      <c r="AH58" s="483"/>
      <c r="AI58" s="484"/>
    </row>
    <row r="59" spans="1:51" x14ac:dyDescent="0.2">
      <c r="P59" s="180" t="s">
        <v>277</v>
      </c>
      <c r="Q59" s="157"/>
      <c r="R59" s="157"/>
      <c r="S59" s="155"/>
      <c r="T59" s="155"/>
      <c r="U59" s="476"/>
      <c r="V59" s="476"/>
      <c r="W59" s="155"/>
      <c r="AF59" s="415" t="s">
        <v>277</v>
      </c>
      <c r="AG59" s="155"/>
      <c r="AH59" s="155"/>
      <c r="AI59" s="478"/>
    </row>
    <row r="60" spans="1:51" x14ac:dyDescent="0.2">
      <c r="P60" s="162" t="s">
        <v>244</v>
      </c>
      <c r="Q60" s="270">
        <v>112.93</v>
      </c>
      <c r="R60" s="490">
        <f>SUM($E34:$G34,$M34,$N34,$Q60)</f>
        <v>3506.97</v>
      </c>
      <c r="S60" s="469" t="e">
        <f>$R60+IF($B$2="mil",1,0.0254)*$C34</f>
        <v>#REF!</v>
      </c>
      <c r="T60" s="469" t="e">
        <f>$U$58 + IF($B$2="mil",1,0.0254)*DDR2Specs!$E$9</f>
        <v>#REF!</v>
      </c>
      <c r="U60" s="469" t="e">
        <f>$T$58 + IF($B$2="mil",1,0.0254)*DDR2Specs!$F$9</f>
        <v>#REF!</v>
      </c>
      <c r="V60" s="491" t="e">
        <f t="shared" ref="V60:V73" si="30">IF($S60&lt;$T60,$T60-$S60,"Pass")</f>
        <v>#REF!</v>
      </c>
      <c r="W60" s="492" t="e">
        <f t="shared" ref="W60:W73" si="31">IF($S60&gt;$U60,$S60-$U60,"Pass")</f>
        <v>#REF!</v>
      </c>
      <c r="AF60" s="503" t="s">
        <v>244</v>
      </c>
      <c r="AG60" s="473" t="e">
        <f ca="1">CheckLength2(IF($B$2="mil",1,0.0254)*1200,N34,Q60,0)</f>
        <v>#NAME?</v>
      </c>
      <c r="AH60" s="473" t="e">
        <f>IF(AND(R60&gt;=IF($B$2="mil",1,0.0254)*500, $R60&lt;=IF($B$2="mil",1,0.0254)*6500),"Pass",IF($B$2="mil",1,0.0254)*6500-$R60)</f>
        <v>#REF!</v>
      </c>
      <c r="AI60" s="504" t="e">
        <f>IF(AND($S60&gt;=IF($B$2="mil",1,0.0254)*500, $S60&lt;=IF($B$2="mil",1,0.0254)*7000),"Pass",IF($B$2="mil",1,0.0254)*7000-$S60)</f>
        <v>#REF!</v>
      </c>
      <c r="AJ60" s="4" t="e">
        <f t="shared" ref="AJ60:AJ73" ca="1" si="32">IF(AND(V60="Pass",W60="Pass",AG60="Pass",AH60="Pass",AI60="Pass"),"Pass","Fail")</f>
        <v>#REF!</v>
      </c>
      <c r="AK60" s="4" t="e">
        <f ca="1">IF(AND(AJ60="Pass",AJ61="Pass",AJ62="Pass",AJ63="Pass",AJ64="Pass",AJ65="Pass",AJ65="Pass",AJ66="Pass",AJ67="Pass",AJ68="Pass",AJ69="Pass",AJ70="Pass"),"Pass","Fail")</f>
        <v>#REF!</v>
      </c>
    </row>
    <row r="61" spans="1:51" x14ac:dyDescent="0.2">
      <c r="P61" s="217" t="s">
        <v>87</v>
      </c>
      <c r="Q61" s="270">
        <v>93.83</v>
      </c>
      <c r="R61" s="490">
        <f t="shared" ref="R61:R81" si="33">SUM($E35:$G35,$M35,$N35,$Q61)</f>
        <v>3325.44</v>
      </c>
      <c r="S61" s="469" t="e">
        <f t="shared" ref="S61:S81" si="34">$R61+IF($B$2="mil",1,0.0254)*$C35</f>
        <v>#REF!</v>
      </c>
      <c r="T61" s="469" t="e">
        <f>$U$58 + IF($B$2="mil",1,0.0254)*DDR2Specs!$E$9</f>
        <v>#REF!</v>
      </c>
      <c r="U61" s="469" t="e">
        <f>$T$58 + IF($B$2="mil",1,0.0254)*DDR2Specs!$F$9</f>
        <v>#REF!</v>
      </c>
      <c r="V61" s="491" t="e">
        <f t="shared" si="30"/>
        <v>#REF!</v>
      </c>
      <c r="W61" s="492" t="e">
        <f t="shared" si="31"/>
        <v>#REF!</v>
      </c>
      <c r="AF61" s="505" t="s">
        <v>87</v>
      </c>
      <c r="AG61" s="473" t="e">
        <f t="shared" ref="AG61:AG73" ca="1" si="35">CheckLength2(IF($B$2="mil",1,0.0254)*1200,N35,Q61,0)</f>
        <v>#NAME?</v>
      </c>
      <c r="AH61" s="473" t="e">
        <f t="shared" ref="AH61:AH73" si="36">IF(AND(R61&gt;=IF($B$2="mil",1,0.0254)*500, $R61&lt;=IF($B$2="mil",1,0.0254)*6500),"Pass",IF($B$2="mil",1,0.0254)*6500-$R61)</f>
        <v>#REF!</v>
      </c>
      <c r="AI61" s="504" t="e">
        <f t="shared" ref="AI61:AI73" si="37">IF(AND($S61&gt;=IF($B$2="mil",1,0.0254)*500, $S61&lt;=IF($B$2="mil",1,0.0254)*7000),"Pass",IF($B$2="mil",1,0.0254)*7000-$S61)</f>
        <v>#REF!</v>
      </c>
      <c r="AJ61" s="4" t="e">
        <f t="shared" ca="1" si="32"/>
        <v>#REF!</v>
      </c>
      <c r="AK61" s="4" t="e">
        <f ca="1">IF(AND(AJ71="Pass",AJ72="Pass",AJ73="Pass",AJ75="Pass",AJ76="Pass",AJ77="Pass",AJ79="Pass",AJ80="Pass",AJ81="Pass"),"Pass","Fail")</f>
        <v>#REF!</v>
      </c>
    </row>
    <row r="62" spans="1:51" x14ac:dyDescent="0.2">
      <c r="P62" s="217" t="s">
        <v>88</v>
      </c>
      <c r="Q62" s="270">
        <v>112.45</v>
      </c>
      <c r="R62" s="490">
        <f t="shared" si="33"/>
        <v>3249.34</v>
      </c>
      <c r="S62" s="469" t="e">
        <f t="shared" si="34"/>
        <v>#REF!</v>
      </c>
      <c r="T62" s="469" t="e">
        <f>$U$58 + IF($B$2="mil",1,0.0254)*DDR2Specs!$E$9</f>
        <v>#REF!</v>
      </c>
      <c r="U62" s="469" t="e">
        <f>$T$58 + IF($B$2="mil",1,0.0254)*DDR2Specs!$F$9</f>
        <v>#REF!</v>
      </c>
      <c r="V62" s="491" t="e">
        <f t="shared" si="30"/>
        <v>#REF!</v>
      </c>
      <c r="W62" s="492" t="e">
        <f t="shared" si="31"/>
        <v>#REF!</v>
      </c>
      <c r="AF62" s="505" t="s">
        <v>88</v>
      </c>
      <c r="AG62" s="473" t="e">
        <f t="shared" ca="1" si="35"/>
        <v>#NAME?</v>
      </c>
      <c r="AH62" s="473" t="e">
        <f t="shared" si="36"/>
        <v>#REF!</v>
      </c>
      <c r="AI62" s="504" t="e">
        <f t="shared" si="37"/>
        <v>#REF!</v>
      </c>
      <c r="AJ62" s="4" t="e">
        <f t="shared" ca="1" si="32"/>
        <v>#REF!</v>
      </c>
    </row>
    <row r="63" spans="1:51" x14ac:dyDescent="0.2">
      <c r="P63" s="217" t="s">
        <v>89</v>
      </c>
      <c r="Q63" s="270">
        <v>76.09</v>
      </c>
      <c r="R63" s="490">
        <f t="shared" si="33"/>
        <v>3264.9</v>
      </c>
      <c r="S63" s="469" t="e">
        <f t="shared" si="34"/>
        <v>#REF!</v>
      </c>
      <c r="T63" s="469" t="e">
        <f>$U$58 + IF($B$2="mil",1,0.0254)*DDR2Specs!$E$9</f>
        <v>#REF!</v>
      </c>
      <c r="U63" s="469" t="e">
        <f>$T$58 + IF($B$2="mil",1,0.0254)*DDR2Specs!$F$9</f>
        <v>#REF!</v>
      </c>
      <c r="V63" s="491" t="e">
        <f t="shared" si="30"/>
        <v>#REF!</v>
      </c>
      <c r="W63" s="492" t="e">
        <f t="shared" si="31"/>
        <v>#REF!</v>
      </c>
      <c r="AF63" s="505" t="s">
        <v>89</v>
      </c>
      <c r="AG63" s="473" t="e">
        <f t="shared" ca="1" si="35"/>
        <v>#NAME?</v>
      </c>
      <c r="AH63" s="473" t="e">
        <f t="shared" si="36"/>
        <v>#REF!</v>
      </c>
      <c r="AI63" s="504" t="e">
        <f t="shared" si="37"/>
        <v>#REF!</v>
      </c>
      <c r="AJ63" s="4" t="e">
        <f t="shared" ca="1" si="32"/>
        <v>#REF!</v>
      </c>
    </row>
    <row r="64" spans="1:51" x14ac:dyDescent="0.2">
      <c r="P64" s="217" t="s">
        <v>90</v>
      </c>
      <c r="Q64" s="270">
        <v>70.48</v>
      </c>
      <c r="R64" s="490">
        <f t="shared" si="33"/>
        <v>3139.4900000000002</v>
      </c>
      <c r="S64" s="469" t="e">
        <f t="shared" si="34"/>
        <v>#REF!</v>
      </c>
      <c r="T64" s="469" t="e">
        <f>$U$58 + IF($B$2="mil",1,0.0254)*DDR2Specs!$E$9</f>
        <v>#REF!</v>
      </c>
      <c r="U64" s="469" t="e">
        <f>$T$58 + IF($B$2="mil",1,0.0254)*DDR2Specs!$F$9</f>
        <v>#REF!</v>
      </c>
      <c r="V64" s="491" t="e">
        <f t="shared" si="30"/>
        <v>#REF!</v>
      </c>
      <c r="W64" s="492" t="e">
        <f t="shared" si="31"/>
        <v>#REF!</v>
      </c>
      <c r="AF64" s="505" t="s">
        <v>90</v>
      </c>
      <c r="AG64" s="473" t="e">
        <f t="shared" ca="1" si="35"/>
        <v>#NAME?</v>
      </c>
      <c r="AH64" s="473" t="e">
        <f t="shared" si="36"/>
        <v>#REF!</v>
      </c>
      <c r="AI64" s="504" t="e">
        <f t="shared" si="37"/>
        <v>#REF!</v>
      </c>
      <c r="AJ64" s="4" t="e">
        <f t="shared" ca="1" si="32"/>
        <v>#REF!</v>
      </c>
    </row>
    <row r="65" spans="16:36" x14ac:dyDescent="0.2">
      <c r="P65" s="217" t="s">
        <v>91</v>
      </c>
      <c r="Q65" s="270">
        <v>45.3</v>
      </c>
      <c r="R65" s="490">
        <f t="shared" si="33"/>
        <v>3286.37</v>
      </c>
      <c r="S65" s="469" t="e">
        <f t="shared" si="34"/>
        <v>#REF!</v>
      </c>
      <c r="T65" s="469" t="e">
        <f>$U$58 + IF($B$2="mil",1,0.0254)*DDR2Specs!$E$9</f>
        <v>#REF!</v>
      </c>
      <c r="U65" s="469" t="e">
        <f>$T$58 + IF($B$2="mil",1,0.0254)*DDR2Specs!$F$9</f>
        <v>#REF!</v>
      </c>
      <c r="V65" s="491" t="e">
        <f t="shared" si="30"/>
        <v>#REF!</v>
      </c>
      <c r="W65" s="492" t="e">
        <f t="shared" si="31"/>
        <v>#REF!</v>
      </c>
      <c r="AF65" s="505" t="s">
        <v>91</v>
      </c>
      <c r="AG65" s="473" t="e">
        <f t="shared" ca="1" si="35"/>
        <v>#NAME?</v>
      </c>
      <c r="AH65" s="473" t="e">
        <f t="shared" si="36"/>
        <v>#REF!</v>
      </c>
      <c r="AI65" s="504" t="e">
        <f t="shared" si="37"/>
        <v>#REF!</v>
      </c>
      <c r="AJ65" s="4" t="e">
        <f t="shared" ca="1" si="32"/>
        <v>#REF!</v>
      </c>
    </row>
    <row r="66" spans="16:36" x14ac:dyDescent="0.2">
      <c r="P66" s="217" t="s">
        <v>92</v>
      </c>
      <c r="Q66" s="270">
        <v>76.069999999999993</v>
      </c>
      <c r="R66" s="490">
        <f t="shared" si="33"/>
        <v>3342</v>
      </c>
      <c r="S66" s="469" t="e">
        <f t="shared" si="34"/>
        <v>#REF!</v>
      </c>
      <c r="T66" s="469" t="e">
        <f>$U$58 + IF($B$2="mil",1,0.0254)*DDR2Specs!$E$9</f>
        <v>#REF!</v>
      </c>
      <c r="U66" s="469" t="e">
        <f>$T$58 + IF($B$2="mil",1,0.0254)*DDR2Specs!$F$9</f>
        <v>#REF!</v>
      </c>
      <c r="V66" s="491" t="e">
        <f t="shared" si="30"/>
        <v>#REF!</v>
      </c>
      <c r="W66" s="492" t="e">
        <f t="shared" si="31"/>
        <v>#REF!</v>
      </c>
      <c r="AF66" s="505" t="s">
        <v>92</v>
      </c>
      <c r="AG66" s="473" t="e">
        <f t="shared" ca="1" si="35"/>
        <v>#NAME?</v>
      </c>
      <c r="AH66" s="473" t="e">
        <f t="shared" si="36"/>
        <v>#REF!</v>
      </c>
      <c r="AI66" s="504" t="e">
        <f t="shared" si="37"/>
        <v>#REF!</v>
      </c>
      <c r="AJ66" s="4" t="e">
        <f t="shared" ca="1" si="32"/>
        <v>#REF!</v>
      </c>
    </row>
    <row r="67" spans="16:36" x14ac:dyDescent="0.2">
      <c r="P67" s="217" t="s">
        <v>94</v>
      </c>
      <c r="Q67" s="270">
        <v>76.09</v>
      </c>
      <c r="R67" s="490">
        <f t="shared" si="33"/>
        <v>3234.04</v>
      </c>
      <c r="S67" s="469" t="e">
        <f t="shared" si="34"/>
        <v>#REF!</v>
      </c>
      <c r="T67" s="469" t="e">
        <f>$U$58 + IF($B$2="mil",1,0.0254)*DDR2Specs!$E$9</f>
        <v>#REF!</v>
      </c>
      <c r="U67" s="469" t="e">
        <f>$T$58 + IF($B$2="mil",1,0.0254)*DDR2Specs!$F$9</f>
        <v>#REF!</v>
      </c>
      <c r="V67" s="491" t="e">
        <f t="shared" si="30"/>
        <v>#REF!</v>
      </c>
      <c r="W67" s="492" t="e">
        <f t="shared" si="31"/>
        <v>#REF!</v>
      </c>
      <c r="AF67" s="505" t="s">
        <v>94</v>
      </c>
      <c r="AG67" s="473" t="e">
        <f t="shared" ca="1" si="35"/>
        <v>#NAME?</v>
      </c>
      <c r="AH67" s="473" t="e">
        <f t="shared" si="36"/>
        <v>#REF!</v>
      </c>
      <c r="AI67" s="504" t="e">
        <f t="shared" si="37"/>
        <v>#REF!</v>
      </c>
      <c r="AJ67" s="4" t="e">
        <f t="shared" ca="1" si="32"/>
        <v>#REF!</v>
      </c>
    </row>
    <row r="68" spans="16:36" x14ac:dyDescent="0.2">
      <c r="P68" s="217" t="s">
        <v>95</v>
      </c>
      <c r="Q68" s="270">
        <v>55.8</v>
      </c>
      <c r="R68" s="490">
        <f t="shared" si="33"/>
        <v>3266.4100000000003</v>
      </c>
      <c r="S68" s="469" t="e">
        <f t="shared" si="34"/>
        <v>#REF!</v>
      </c>
      <c r="T68" s="469" t="e">
        <f>$U$58 + IF($B$2="mil",1,0.0254)*DDR2Specs!$E$9</f>
        <v>#REF!</v>
      </c>
      <c r="U68" s="469" t="e">
        <f>$T$58 + IF($B$2="mil",1,0.0254)*DDR2Specs!$F$9</f>
        <v>#REF!</v>
      </c>
      <c r="V68" s="491" t="e">
        <f t="shared" si="30"/>
        <v>#REF!</v>
      </c>
      <c r="W68" s="492" t="e">
        <f t="shared" si="31"/>
        <v>#REF!</v>
      </c>
      <c r="AF68" s="505" t="s">
        <v>95</v>
      </c>
      <c r="AG68" s="473" t="e">
        <f t="shared" ca="1" si="35"/>
        <v>#NAME?</v>
      </c>
      <c r="AH68" s="473" t="e">
        <f t="shared" si="36"/>
        <v>#REF!</v>
      </c>
      <c r="AI68" s="504" t="e">
        <f t="shared" si="37"/>
        <v>#REF!</v>
      </c>
      <c r="AJ68" s="4" t="e">
        <f t="shared" ca="1" si="32"/>
        <v>#REF!</v>
      </c>
    </row>
    <row r="69" spans="16:36" x14ac:dyDescent="0.2">
      <c r="P69" s="217" t="s">
        <v>96</v>
      </c>
      <c r="Q69" s="270">
        <v>73.59</v>
      </c>
      <c r="R69" s="490">
        <f t="shared" si="33"/>
        <v>3536.25</v>
      </c>
      <c r="S69" s="469" t="e">
        <f t="shared" si="34"/>
        <v>#REF!</v>
      </c>
      <c r="T69" s="469" t="e">
        <f>$U$58 + IF($B$2="mil",1,0.0254)*DDR2Specs!$E$9</f>
        <v>#REF!</v>
      </c>
      <c r="U69" s="469" t="e">
        <f>$T$58 + IF($B$2="mil",1,0.0254)*DDR2Specs!$F$9</f>
        <v>#REF!</v>
      </c>
      <c r="V69" s="491" t="e">
        <f t="shared" si="30"/>
        <v>#REF!</v>
      </c>
      <c r="W69" s="492" t="e">
        <f t="shared" si="31"/>
        <v>#REF!</v>
      </c>
      <c r="AF69" s="505" t="s">
        <v>96</v>
      </c>
      <c r="AG69" s="473" t="e">
        <f t="shared" ca="1" si="35"/>
        <v>#NAME?</v>
      </c>
      <c r="AH69" s="473" t="e">
        <f t="shared" si="36"/>
        <v>#REF!</v>
      </c>
      <c r="AI69" s="504" t="e">
        <f t="shared" si="37"/>
        <v>#REF!</v>
      </c>
      <c r="AJ69" s="4" t="e">
        <f t="shared" ca="1" si="32"/>
        <v>#REF!</v>
      </c>
    </row>
    <row r="70" spans="16:36" x14ac:dyDescent="0.2">
      <c r="P70" s="217" t="s">
        <v>98</v>
      </c>
      <c r="Q70" s="270">
        <v>31.54</v>
      </c>
      <c r="R70" s="490">
        <f t="shared" si="33"/>
        <v>3340.33</v>
      </c>
      <c r="S70" s="469" t="e">
        <f t="shared" si="34"/>
        <v>#REF!</v>
      </c>
      <c r="T70" s="469" t="e">
        <f>$U$58 + IF($B$2="mil",1,0.0254)*DDR2Specs!$E$9</f>
        <v>#REF!</v>
      </c>
      <c r="U70" s="469" t="e">
        <f>$T$58 + IF($B$2="mil",1,0.0254)*DDR2Specs!$F$9</f>
        <v>#REF!</v>
      </c>
      <c r="V70" s="491" t="e">
        <f t="shared" si="30"/>
        <v>#REF!</v>
      </c>
      <c r="W70" s="492" t="e">
        <f t="shared" si="31"/>
        <v>#REF!</v>
      </c>
      <c r="AF70" s="505" t="s">
        <v>98</v>
      </c>
      <c r="AG70" s="473" t="e">
        <f t="shared" ca="1" si="35"/>
        <v>#NAME?</v>
      </c>
      <c r="AH70" s="473" t="e">
        <f t="shared" si="36"/>
        <v>#REF!</v>
      </c>
      <c r="AI70" s="504" t="e">
        <f t="shared" si="37"/>
        <v>#REF!</v>
      </c>
      <c r="AJ70" s="4" t="e">
        <f t="shared" ca="1" si="32"/>
        <v>#REF!</v>
      </c>
    </row>
    <row r="71" spans="16:36" x14ac:dyDescent="0.2">
      <c r="P71" s="217" t="s">
        <v>99</v>
      </c>
      <c r="Q71" s="270">
        <v>69.180000000000007</v>
      </c>
      <c r="R71" s="490">
        <f t="shared" si="33"/>
        <v>3405.41</v>
      </c>
      <c r="S71" s="469" t="e">
        <f t="shared" si="34"/>
        <v>#REF!</v>
      </c>
      <c r="T71" s="469" t="e">
        <f>$U$58 + IF($B$2="mil",1,0.0254)*DDR2Specs!$E$9</f>
        <v>#REF!</v>
      </c>
      <c r="U71" s="469" t="e">
        <f>$T$58 + IF($B$2="mil",1,0.0254)*DDR2Specs!$F$9</f>
        <v>#REF!</v>
      </c>
      <c r="V71" s="491" t="e">
        <f t="shared" si="30"/>
        <v>#REF!</v>
      </c>
      <c r="W71" s="492" t="e">
        <f t="shared" si="31"/>
        <v>#REF!</v>
      </c>
      <c r="AF71" s="505" t="s">
        <v>99</v>
      </c>
      <c r="AG71" s="473" t="e">
        <f t="shared" ca="1" si="35"/>
        <v>#NAME?</v>
      </c>
      <c r="AH71" s="473" t="e">
        <f t="shared" si="36"/>
        <v>#REF!</v>
      </c>
      <c r="AI71" s="504" t="e">
        <f t="shared" si="37"/>
        <v>#REF!</v>
      </c>
      <c r="AJ71" s="4" t="e">
        <f t="shared" ca="1" si="32"/>
        <v>#REF!</v>
      </c>
    </row>
    <row r="72" spans="16:36" x14ac:dyDescent="0.2">
      <c r="P72" s="217" t="s">
        <v>100</v>
      </c>
      <c r="Q72" s="270">
        <v>29.07</v>
      </c>
      <c r="R72" s="490">
        <f t="shared" si="33"/>
        <v>3463.34</v>
      </c>
      <c r="S72" s="469" t="e">
        <f t="shared" si="34"/>
        <v>#REF!</v>
      </c>
      <c r="T72" s="469" t="e">
        <f>$U$58 + IF($B$2="mil",1,0.0254)*DDR2Specs!$E$9</f>
        <v>#REF!</v>
      </c>
      <c r="U72" s="469" t="e">
        <f>$T$58 + IF($B$2="mil",1,0.0254)*DDR2Specs!$F$9</f>
        <v>#REF!</v>
      </c>
      <c r="V72" s="491" t="e">
        <f t="shared" si="30"/>
        <v>#REF!</v>
      </c>
      <c r="W72" s="492" t="e">
        <f t="shared" si="31"/>
        <v>#REF!</v>
      </c>
      <c r="AF72" s="505" t="s">
        <v>100</v>
      </c>
      <c r="AG72" s="473" t="e">
        <f t="shared" ca="1" si="35"/>
        <v>#NAME?</v>
      </c>
      <c r="AH72" s="473" t="e">
        <f t="shared" si="36"/>
        <v>#REF!</v>
      </c>
      <c r="AI72" s="504" t="e">
        <f t="shared" si="37"/>
        <v>#REF!</v>
      </c>
      <c r="AJ72" s="4" t="e">
        <f t="shared" ca="1" si="32"/>
        <v>#REF!</v>
      </c>
    </row>
    <row r="73" spans="16:36" x14ac:dyDescent="0.2">
      <c r="P73" s="217" t="s">
        <v>101</v>
      </c>
      <c r="Q73" s="270">
        <v>29.07</v>
      </c>
      <c r="R73" s="490">
        <f t="shared" si="33"/>
        <v>3343.34</v>
      </c>
      <c r="S73" s="469" t="e">
        <f t="shared" si="34"/>
        <v>#REF!</v>
      </c>
      <c r="T73" s="469" t="e">
        <f>$U$58 + IF($B$2="mil",1,0.0254)*DDR2Specs!$E$9</f>
        <v>#REF!</v>
      </c>
      <c r="U73" s="469" t="e">
        <f>$T$58 + IF($B$2="mil",1,0.0254)*DDR2Specs!$F$9</f>
        <v>#REF!</v>
      </c>
      <c r="V73" s="491" t="e">
        <f t="shared" si="30"/>
        <v>#REF!</v>
      </c>
      <c r="W73" s="492" t="e">
        <f t="shared" si="31"/>
        <v>#REF!</v>
      </c>
      <c r="AF73" s="505" t="s">
        <v>101</v>
      </c>
      <c r="AG73" s="473" t="e">
        <f t="shared" ca="1" si="35"/>
        <v>#NAME?</v>
      </c>
      <c r="AH73" s="473" t="e">
        <f t="shared" si="36"/>
        <v>#REF!</v>
      </c>
      <c r="AI73" s="504" t="e">
        <f t="shared" si="37"/>
        <v>#REF!</v>
      </c>
      <c r="AJ73" s="4" t="e">
        <f t="shared" ca="1" si="32"/>
        <v>#REF!</v>
      </c>
    </row>
    <row r="74" spans="16:36" x14ac:dyDescent="0.2">
      <c r="P74" s="180" t="s">
        <v>278</v>
      </c>
      <c r="Q74" s="291"/>
      <c r="R74" s="182"/>
      <c r="S74" s="182"/>
      <c r="T74" s="182"/>
      <c r="U74" s="182"/>
      <c r="V74" s="385"/>
      <c r="W74" s="385"/>
      <c r="AF74" s="415" t="s">
        <v>278</v>
      </c>
      <c r="AG74" s="155"/>
      <c r="AH74" s="155"/>
      <c r="AI74" s="506"/>
    </row>
    <row r="75" spans="16:36" x14ac:dyDescent="0.2">
      <c r="P75" s="161" t="s">
        <v>102</v>
      </c>
      <c r="Q75" s="297">
        <v>75.430000000000007</v>
      </c>
      <c r="R75" s="490">
        <f t="shared" si="33"/>
        <v>3396.0499999999997</v>
      </c>
      <c r="S75" s="469" t="e">
        <f t="shared" si="34"/>
        <v>#REF!</v>
      </c>
      <c r="T75" s="469" t="e">
        <f>$U$58 + IF($B$2="mil",1,0.0254)*DDR2Specs!$E$9</f>
        <v>#REF!</v>
      </c>
      <c r="U75" s="469" t="e">
        <f>$T$58 + IF($B$2="mil",1,0.0254)*DDR2Specs!$F$9</f>
        <v>#REF!</v>
      </c>
      <c r="V75" s="491" t="e">
        <f>IF($S75&lt;$T75,$T75-$S75,"Pass")</f>
        <v>#REF!</v>
      </c>
      <c r="W75" s="492" t="e">
        <f>IF($S75&gt;$U75,$S75-$U75,"Pass")</f>
        <v>#REF!</v>
      </c>
      <c r="AF75" s="503" t="s">
        <v>102</v>
      </c>
      <c r="AG75" s="473" t="e">
        <f ca="1">CheckLength2(IF($B$2="mil",1,0.0254)*1200,N49,Q75,0)</f>
        <v>#NAME?</v>
      </c>
      <c r="AH75" s="473" t="e">
        <f>IF(AND(R75&gt;=IF($B$2="mil",1,0.0254)*500, $R75&lt;=IF($B$2="mil",1,0.0254)*6500),"Pass",IF($B$2="mil",1,0.0254)*6500-$R75)</f>
        <v>#REF!</v>
      </c>
      <c r="AI75" s="504" t="e">
        <f>IF(AND($S75&gt;=IF($B$2="mil",1,0.0254)*500, $S75&lt;=IF($B$2="mil",1,0.0254)*7000),"Pass",IF($B$2="mil",1,0.0254)*7000-$S75)</f>
        <v>#REF!</v>
      </c>
      <c r="AJ75" s="4" t="e">
        <f ca="1">IF(AND(V75="Pass",W75="Pass",AG75="Pass",AH75="Pass",AI75="Pass"),"Pass","Fail")</f>
        <v>#REF!</v>
      </c>
    </row>
    <row r="76" spans="16:36" x14ac:dyDescent="0.2">
      <c r="P76" s="215" t="s">
        <v>103</v>
      </c>
      <c r="Q76" s="292">
        <v>58.08</v>
      </c>
      <c r="R76" s="490">
        <f t="shared" si="33"/>
        <v>3424.1099999999997</v>
      </c>
      <c r="S76" s="469" t="e">
        <f t="shared" si="34"/>
        <v>#REF!</v>
      </c>
      <c r="T76" s="469" t="e">
        <f>$U$58 + IF($B$2="mil",1,0.0254)*DDR2Specs!$E$9</f>
        <v>#REF!</v>
      </c>
      <c r="U76" s="469" t="e">
        <f>$T$58 + IF($B$2="mil",1,0.0254)*DDR2Specs!$F$9</f>
        <v>#REF!</v>
      </c>
      <c r="V76" s="491" t="e">
        <f>IF($S76&lt;$T76,$T76-$S76,"Pass")</f>
        <v>#REF!</v>
      </c>
      <c r="W76" s="492" t="e">
        <f>IF($S76&gt;$U76,$S76-$U76,"Pass")</f>
        <v>#REF!</v>
      </c>
      <c r="AF76" s="507" t="s">
        <v>103</v>
      </c>
      <c r="AG76" s="473" t="e">
        <f ca="1">CheckLength2(IF($B$2="mil",1,0.0254)*1200,N50,Q76,0)</f>
        <v>#NAME?</v>
      </c>
      <c r="AH76" s="473" t="e">
        <f>IF(AND(R76&gt;=IF($B$2="mil",1,0.0254)*500, $R76&lt;=IF($B$2="mil",1,0.0254)*6500),"Pass",IF($B$2="mil",1,0.0254)*6500-$R76)</f>
        <v>#REF!</v>
      </c>
      <c r="AI76" s="504" t="e">
        <f>IF(AND($S76&gt;=IF($B$2="mil",1,0.0254)*500, $S76&lt;=IF($B$2="mil",1,0.0254)*7000),"Pass",IF($B$2="mil",1,0.0254)*7000-$S76)</f>
        <v>#REF!</v>
      </c>
      <c r="AJ76" s="4" t="e">
        <f ca="1">IF(AND(V76="Pass",W76="Pass",AG76="Pass",AH76="Pass",AI76="Pass"),"Pass","Fail")</f>
        <v>#REF!</v>
      </c>
    </row>
    <row r="77" spans="16:36" x14ac:dyDescent="0.2">
      <c r="P77" s="215" t="s">
        <v>104</v>
      </c>
      <c r="Q77" s="169">
        <v>78.75</v>
      </c>
      <c r="R77" s="490">
        <f t="shared" si="33"/>
        <v>3288.22</v>
      </c>
      <c r="S77" s="469" t="e">
        <f t="shared" si="34"/>
        <v>#REF!</v>
      </c>
      <c r="T77" s="469" t="e">
        <f>$U$58 + IF($B$2="mil",1,0.0254)*DDR2Specs!$E$9</f>
        <v>#REF!</v>
      </c>
      <c r="U77" s="469" t="e">
        <f>$T$58 + IF($B$2="mil",1,0.0254)*DDR2Specs!$F$9</f>
        <v>#REF!</v>
      </c>
      <c r="V77" s="491" t="e">
        <f>IF($S77&lt;$T77,$T77-$S77,"Pass")</f>
        <v>#REF!</v>
      </c>
      <c r="W77" s="492" t="e">
        <f>IF($S77&gt;$U77,$S77-$U77,"Pass")</f>
        <v>#REF!</v>
      </c>
      <c r="AD77" s="508"/>
      <c r="AF77" s="507" t="s">
        <v>104</v>
      </c>
      <c r="AG77" s="473" t="e">
        <f ca="1">CheckLength2(IF($B$2="mil",1,0.0254)*1200,N51,Q77,0)</f>
        <v>#NAME?</v>
      </c>
      <c r="AH77" s="473" t="e">
        <f>IF(AND(R77&gt;=IF($B$2="mil",1,0.0254)*500, $R77&lt;=IF($B$2="mil",1,0.0254)*6500),"Pass",IF($B$2="mil",1,0.0254)*6500-$R77)</f>
        <v>#REF!</v>
      </c>
      <c r="AI77" s="504" t="e">
        <f>IF(AND($S77&gt;=IF($B$2="mil",1,0.0254)*500, $S77&lt;=IF($B$2="mil",1,0.0254)*7000),"Pass",IF($B$2="mil",1,0.0254)*7000-$S77)</f>
        <v>#REF!</v>
      </c>
      <c r="AJ77" s="4" t="e">
        <f ca="1">IF(AND(V77="Pass",W77="Pass",AG77="Pass",AH77="Pass",AI77="Pass"),"Pass","Fail")</f>
        <v>#REF!</v>
      </c>
    </row>
    <row r="78" spans="16:36" x14ac:dyDescent="0.2">
      <c r="P78" s="180" t="s">
        <v>279</v>
      </c>
      <c r="Q78" s="182"/>
      <c r="R78" s="182"/>
      <c r="S78" s="182"/>
      <c r="T78" s="182"/>
      <c r="U78" s="182"/>
      <c r="V78" s="385"/>
      <c r="W78" s="385"/>
      <c r="AF78" s="415" t="s">
        <v>279</v>
      </c>
      <c r="AG78" s="385"/>
      <c r="AH78" s="385"/>
      <c r="AI78" s="506"/>
    </row>
    <row r="79" spans="16:36" x14ac:dyDescent="0.2">
      <c r="P79" s="161" t="s">
        <v>106</v>
      </c>
      <c r="Q79" s="169">
        <v>27.77</v>
      </c>
      <c r="R79" s="490">
        <f t="shared" si="33"/>
        <v>3235.8999999999996</v>
      </c>
      <c r="S79" s="469" t="e">
        <f t="shared" si="34"/>
        <v>#REF!</v>
      </c>
      <c r="T79" s="469" t="e">
        <f>$U$58 + IF($B$2="mil",1,0.0254)*DDR2Specs!$E$9</f>
        <v>#REF!</v>
      </c>
      <c r="U79" s="469" t="e">
        <f>$T$58 + IF($B$2="mil",1,0.0254)*DDR2Specs!$F$9</f>
        <v>#REF!</v>
      </c>
      <c r="V79" s="491" t="e">
        <f>IF($S79&lt;$T79,$T79-$S79,"Pass")</f>
        <v>#REF!</v>
      </c>
      <c r="W79" s="492" t="e">
        <f>IF($S79&gt;$U79,$S79-$U79,"Pass")</f>
        <v>#REF!</v>
      </c>
      <c r="AF79" s="503" t="s">
        <v>106</v>
      </c>
      <c r="AG79" s="473" t="e">
        <f ca="1">CheckLength2(IF($B$2="mil",1,0.0254)*1200,N53,Q79,0)</f>
        <v>#NAME?</v>
      </c>
      <c r="AH79" s="473" t="e">
        <f>IF(AND(R79&gt;=IF($B$2="mil",1,0.0254)*500, $R79&lt;=IF($B$2="mil",1,0.0254)*6500),"Pass",IF($B$2="mil",1,0.0254)*6500-$R79)</f>
        <v>#REF!</v>
      </c>
      <c r="AI79" s="504" t="e">
        <f>IF(AND($S79&gt;=IF($B$2="mil",1,0.0254)*500, $S79&lt;=IF($B$2="mil",1,0.0254)*7000),"Pass",IF($B$2="mil",1,0.0254)*7000-$S79)</f>
        <v>#REF!</v>
      </c>
      <c r="AJ79" s="4" t="e">
        <f ca="1">IF(AND(V79="Pass",W79="Pass",AG79="Pass",AH79="Pass",AI79="Pass"),"Pass","Fail")</f>
        <v>#REF!</v>
      </c>
    </row>
    <row r="80" spans="16:36" x14ac:dyDescent="0.2">
      <c r="P80" s="214" t="s">
        <v>107</v>
      </c>
      <c r="Q80" s="169">
        <v>56.02</v>
      </c>
      <c r="R80" s="490">
        <f t="shared" si="33"/>
        <v>3260.1699999999996</v>
      </c>
      <c r="S80" s="469" t="e">
        <f t="shared" si="34"/>
        <v>#REF!</v>
      </c>
      <c r="T80" s="469" t="e">
        <f>$U$58 + IF($B$2="mil",1,0.0254)*DDR2Specs!$E$9</f>
        <v>#REF!</v>
      </c>
      <c r="U80" s="469" t="e">
        <f>$T$58 + IF($B$2="mil",1,0.0254)*DDR2Specs!$F$9</f>
        <v>#REF!</v>
      </c>
      <c r="V80" s="491" t="e">
        <f>IF($S80&lt;$T80,$T80-$S80,"Pass")</f>
        <v>#REF!</v>
      </c>
      <c r="W80" s="492" t="e">
        <f>IF($S80&gt;$U80,$S80-$U80,"Pass")</f>
        <v>#REF!</v>
      </c>
      <c r="AF80" s="505" t="s">
        <v>107</v>
      </c>
      <c r="AG80" s="473" t="e">
        <f ca="1">CheckLength2(IF($B$2="mil",1,0.0254)*1200,N54,Q80,0)</f>
        <v>#NAME?</v>
      </c>
      <c r="AH80" s="473" t="e">
        <f>IF(AND(R80&gt;=IF($B$2="mil",1,0.0254)*500, $R80&lt;=IF($B$2="mil",1,0.0254)*6500),"Pass",IF($B$2="mil",1,0.0254)*6500-$R80)</f>
        <v>#REF!</v>
      </c>
      <c r="AI80" s="504" t="e">
        <f>IF(AND($S80&gt;=IF($B$2="mil",1,0.0254)*500, $S80&lt;=IF($B$2="mil",1,0.0254)*7000),"Pass",IF($B$2="mil",1,0.0254)*7000-$S80)</f>
        <v>#REF!</v>
      </c>
      <c r="AJ80" s="4" t="e">
        <f ca="1">IF(AND(V80="Pass",W80="Pass",AG80="Pass",AH80="Pass",AI80="Pass"),"Pass","Fail")</f>
        <v>#REF!</v>
      </c>
    </row>
    <row r="81" spans="14:37" x14ac:dyDescent="0.2">
      <c r="P81" s="214" t="s">
        <v>108</v>
      </c>
      <c r="Q81" s="169">
        <v>28.25</v>
      </c>
      <c r="R81" s="490">
        <f t="shared" si="33"/>
        <v>3243.64</v>
      </c>
      <c r="S81" s="469" t="e">
        <f t="shared" si="34"/>
        <v>#REF!</v>
      </c>
      <c r="T81" s="469" t="e">
        <f>$U$58 + IF($B$2="mil",1,0.0254)*DDR2Specs!$E$9</f>
        <v>#REF!</v>
      </c>
      <c r="U81" s="469" t="e">
        <f>$T$58 + IF($B$2="mil",1,0.0254)*DDR2Specs!$F$9</f>
        <v>#REF!</v>
      </c>
      <c r="V81" s="491" t="e">
        <f>IF($S81&lt;$T81,$T81-$S81,"Pass")</f>
        <v>#REF!</v>
      </c>
      <c r="W81" s="492" t="e">
        <f>IF($S81&gt;$U81,$S81-$U81,"Pass")</f>
        <v>#REF!</v>
      </c>
      <c r="AF81" s="505" t="s">
        <v>108</v>
      </c>
      <c r="AG81" s="473" t="e">
        <f ca="1">CheckLength2(IF($B$2="mil",1,0.0254)*1200,N55,Q81,0)</f>
        <v>#NAME?</v>
      </c>
      <c r="AH81" s="473" t="e">
        <f>IF(AND(R81&gt;=IF($B$2="mil",1,0.0254)*500, $R81&lt;=IF($B$2="mil",1,0.0254)*6500),"Pass",IF($B$2="mil",1,0.0254)*6500-$R81)</f>
        <v>#REF!</v>
      </c>
      <c r="AI81" s="504" t="e">
        <f>IF(AND($S81&gt;=IF($B$2="mil",1,0.0254)*500, $S81&lt;=IF($B$2="mil",1,0.0254)*7000),"Pass",IF($B$2="mil",1,0.0254)*7000-$S81)</f>
        <v>#REF!</v>
      </c>
      <c r="AJ81" s="4" t="e">
        <f ca="1">IF(AND(V81="Pass",W81="Pass",AG81="Pass",AH81="Pass",AI81="Pass"),"Pass","Fail")</f>
        <v>#REF!</v>
      </c>
    </row>
    <row r="82" spans="14:37" x14ac:dyDescent="0.2">
      <c r="N82" s="289" t="s">
        <v>494</v>
      </c>
      <c r="O82" s="289"/>
      <c r="P82" s="123" t="e">
        <f>"Trace L6-2 ["&amp;$B$2&amp;"]"</f>
        <v>#REF!</v>
      </c>
      <c r="Q82" s="123" t="e">
        <f>"Trace L8-3 ["&amp;$B$2&amp;"]"</f>
        <v>#REF!</v>
      </c>
      <c r="R82" s="495" t="e">
        <f>"Total MB Length to U3 (L0+L1+L2+L5+L6-2+L8-3) ["&amp;$B$2&amp;"]"</f>
        <v>#REF!</v>
      </c>
      <c r="S82" s="495" t="e">
        <f>"Total Pad to Pin U3 (P1+L0+L1+L2+L5+L6-2+L8-3) ["&amp;$B$2&amp;"]"</f>
        <v>#REF!</v>
      </c>
      <c r="T82" s="496" t="e">
        <f>"Target Min Length to U3
["&amp;$B$2&amp;"]"</f>
        <v>#REF!</v>
      </c>
      <c r="U82" s="497" t="e">
        <f>"Target Max Length to U3 
["&amp;$B$2&amp;"]"</f>
        <v>#REF!</v>
      </c>
      <c r="V82" s="498" t="e">
        <f>"Routed Too Short to U3 [" &amp;$B$2&amp;"]"</f>
        <v>#REF!</v>
      </c>
      <c r="W82" s="496" t="e">
        <f>"Routed Too Long to U3 [" &amp;$B$2&amp;"]"</f>
        <v>#REF!</v>
      </c>
      <c r="AB82" s="499" t="s">
        <v>494</v>
      </c>
      <c r="AC82" s="500" t="e">
        <f>"L6-2 Length Test (&lt;=" &amp; IF($B$2="mil",1,0.0254)*1000&amp;$B$2&amp;")"</f>
        <v>#REF!</v>
      </c>
      <c r="AF82" s="499" t="s">
        <v>494</v>
      </c>
      <c r="AG82" s="500" t="e">
        <f>"L8-3 Length Test (&lt;=" &amp; IF($B$2="mil",1,0.0254)*200&amp;$B$2&amp;") or (L6-2+L8-3&lt;= "&amp;IF($B$2="mil",1,0.0254)*1200&amp;$B$2&amp;")"</f>
        <v>#REF!</v>
      </c>
      <c r="AH82" s="497" t="e">
        <f>"Total Length to U3 (L0+L1+L2+L5+L6-2+L8-3) Test
 ("&amp;IF($B$2="mil",1,0.0254)*500&amp;"-"&amp;IF($B$2="mil",1,0.0254)*6500&amp;IF($B$2="mil","mil","mm")&amp;")"</f>
        <v>#REF!</v>
      </c>
      <c r="AI82" s="497" t="e">
        <f>"Total Length to U3 (P1+L0+L1+L2+L5+L6-2+L8-3) Test
 (&lt;="&amp;IF($B$2="mil",1,25.4)*7000&amp;IF($B$2="mil","mil","mm")&amp;")"</f>
        <v>#REF!</v>
      </c>
    </row>
    <row r="83" spans="14:37" x14ac:dyDescent="0.2">
      <c r="N83" s="134" t="s">
        <v>258</v>
      </c>
      <c r="O83" s="134"/>
      <c r="P83" s="135"/>
      <c r="Q83" s="135"/>
      <c r="R83" s="135"/>
      <c r="S83" s="135"/>
      <c r="T83" s="135"/>
      <c r="U83" s="135"/>
      <c r="V83" s="135"/>
      <c r="W83" s="135"/>
      <c r="AB83" s="134" t="s">
        <v>258</v>
      </c>
      <c r="AC83" s="135"/>
      <c r="AF83" s="415" t="s">
        <v>258</v>
      </c>
      <c r="AG83" s="135"/>
      <c r="AH83" s="135"/>
      <c r="AI83" s="137"/>
    </row>
    <row r="84" spans="14:37" x14ac:dyDescent="0.2">
      <c r="N84" s="235" t="s">
        <v>262</v>
      </c>
      <c r="O84" s="235"/>
      <c r="P84" s="143"/>
      <c r="Q84" s="143"/>
      <c r="R84" s="143"/>
      <c r="S84" s="485" t="s">
        <v>274</v>
      </c>
      <c r="T84" s="145" t="e">
        <f>MIN('DDR2 Clocks - 2L'!$R$7:$R$8)</f>
        <v>#REF!</v>
      </c>
      <c r="U84" s="486" t="e">
        <f>MAX('DDR2 Clocks - 2L'!$R$7:$R$8)</f>
        <v>#REF!</v>
      </c>
      <c r="V84" s="487"/>
      <c r="W84" s="145"/>
      <c r="AB84" s="140" t="s">
        <v>262</v>
      </c>
      <c r="AC84" s="483"/>
      <c r="AF84" s="140" t="s">
        <v>262</v>
      </c>
      <c r="AG84" s="483"/>
      <c r="AH84" s="483"/>
      <c r="AI84" s="484"/>
    </row>
    <row r="85" spans="14:37" x14ac:dyDescent="0.2">
      <c r="N85" s="180" t="s">
        <v>277</v>
      </c>
      <c r="O85" s="365"/>
      <c r="P85" s="157"/>
      <c r="Q85" s="157"/>
      <c r="R85" s="157"/>
      <c r="S85" s="155"/>
      <c r="T85" s="155"/>
      <c r="U85" s="476"/>
      <c r="V85" s="476"/>
      <c r="W85" s="155"/>
      <c r="AB85" s="134" t="s">
        <v>277</v>
      </c>
      <c r="AC85" s="155"/>
      <c r="AF85" s="415" t="s">
        <v>277</v>
      </c>
      <c r="AG85" s="155"/>
      <c r="AH85" s="155"/>
      <c r="AI85" s="244"/>
    </row>
    <row r="86" spans="14:37" x14ac:dyDescent="0.2">
      <c r="N86" s="162" t="s">
        <v>244</v>
      </c>
      <c r="O86" s="162"/>
      <c r="P86" s="270">
        <v>400</v>
      </c>
      <c r="Q86" s="364">
        <v>112.93</v>
      </c>
      <c r="R86" s="490">
        <f>SUM($E34:$G34,$M34,$P86,$Q86)</f>
        <v>3506.97</v>
      </c>
      <c r="S86" s="469" t="e">
        <f>$R86+IF($B$2="mil",1,0.0254)*$C34</f>
        <v>#REF!</v>
      </c>
      <c r="T86" s="469" t="e">
        <f>$U$84 + IF($B$2="mil",1,0.0254)*DDR2Specs!$E$9</f>
        <v>#REF!</v>
      </c>
      <c r="U86" s="469" t="e">
        <f>$T$84 + IF($B$2="mil",1,0.0254)*DDR2Specs!$F$9</f>
        <v>#REF!</v>
      </c>
      <c r="V86" s="491" t="e">
        <f t="shared" ref="V86:V99" si="38">IF($S86&lt;$T86,$T86-$S86,"Pass")</f>
        <v>#REF!</v>
      </c>
      <c r="W86" s="492" t="e">
        <f t="shared" ref="W86:W99" si="39">IF($S86&gt;$U86,$S86-$U86,"Pass")</f>
        <v>#REF!</v>
      </c>
      <c r="AB86" s="509" t="s">
        <v>244</v>
      </c>
      <c r="AC86" s="504" t="e">
        <f>IF(P86&lt;=IF($B$2="mil",1,0.0254)*1000,"Pass",IF($B$2="mil",1,0.0254)*1000-P86)</f>
        <v>#REF!</v>
      </c>
      <c r="AF86" s="503" t="s">
        <v>244</v>
      </c>
      <c r="AG86" s="473" t="e">
        <f ca="1">CheckLength2(IF($B$2="mil",1,0.0254)*1200,P86,Q86,0)</f>
        <v>#NAME?</v>
      </c>
      <c r="AH86" s="473" t="e">
        <f>IF(AND(R86&gt;=IF($B$2="mil",1,0.0254)*500, $R86&lt;=IF($B$2="mil",1,0.0254)*6500),"Pass",IF($B$2="mil",1,0.0254)*6500-$R86)</f>
        <v>#REF!</v>
      </c>
      <c r="AI86" s="504" t="e">
        <f>IF(AND($S86&gt;=IF($B$2="mil",1,0.0254)*500, $S86&lt;=IF($B$2="mil",1,0.0254)*7000),"Pass",IF($B$2="mil",1,0.0254)*7000-$S86)</f>
        <v>#REF!</v>
      </c>
      <c r="AJ86" s="4" t="e">
        <f t="shared" ref="AJ86:AJ99" ca="1" si="40">IF(AND(V86="Pass",W86="Pass",AG86="Pass",AH86="Pass",AI86="Pass"),"Pass","Fail")</f>
        <v>#REF!</v>
      </c>
      <c r="AK86" s="4" t="e">
        <f ca="1">IF(AND(AJ86="Pass",AJ87="Pass",AJ88="Pass",AJ89="Pass",AJ90="Pass",AJ91="Pass",AJ92="Pass",AJ93="Pass",AJ94="Pass",AJ95="Pass",AJ96="Pass"),"Pass","Fail")</f>
        <v>#REF!</v>
      </c>
    </row>
    <row r="87" spans="14:37" x14ac:dyDescent="0.2">
      <c r="N87" s="217" t="s">
        <v>87</v>
      </c>
      <c r="O87" s="217"/>
      <c r="P87" s="270">
        <v>500</v>
      </c>
      <c r="Q87" s="364">
        <v>93.83</v>
      </c>
      <c r="R87" s="490">
        <f t="shared" ref="R87:R107" si="41">SUM($E35:$G35,$M35,$P87,$Q87)</f>
        <v>3325.44</v>
      </c>
      <c r="S87" s="469" t="e">
        <f t="shared" ref="S87:S107" si="42">$R87+IF($B$2="mil",1,0.0254)*$C35</f>
        <v>#REF!</v>
      </c>
      <c r="T87" s="469" t="e">
        <f>$U$84 + IF($B$2="mil",1,0.0254)*DDR2Specs!$E$9</f>
        <v>#REF!</v>
      </c>
      <c r="U87" s="469" t="e">
        <f>$T$84 + IF($B$2="mil",1,0.0254)*DDR2Specs!$F$9</f>
        <v>#REF!</v>
      </c>
      <c r="V87" s="491" t="e">
        <f t="shared" si="38"/>
        <v>#REF!</v>
      </c>
      <c r="W87" s="492" t="e">
        <f t="shared" si="39"/>
        <v>#REF!</v>
      </c>
      <c r="AB87" s="510" t="s">
        <v>87</v>
      </c>
      <c r="AC87" s="504" t="e">
        <f t="shared" ref="AC87:AC99" si="43">IF(P87&lt;=IF($B$2="mil",1,0.0254)*1000,"Pass",IF($B$2="mil",1,0.0254)*1000-P87)</f>
        <v>#REF!</v>
      </c>
      <c r="AF87" s="505" t="s">
        <v>87</v>
      </c>
      <c r="AG87" s="473" t="e">
        <f t="shared" ref="AG87:AG99" ca="1" si="44">CheckLength2(IF($B$2="mil",1,0.0254)*1200,P87,Q87,0)</f>
        <v>#NAME?</v>
      </c>
      <c r="AH87" s="473" t="e">
        <f t="shared" ref="AH87:AH99" si="45">IF(AND(R87&gt;=IF($B$2="mil",1,0.0254)*500, $R87&lt;=IF($B$2="mil",1,0.0254)*6500),"Pass",IF($B$2="mil",1,0.0254)*6500-$R87)</f>
        <v>#REF!</v>
      </c>
      <c r="AI87" s="504" t="e">
        <f t="shared" ref="AI87:AI99" si="46">IF(AND($S87&gt;=IF($B$2="mil",1,0.0254)*500, $S87&lt;=IF($B$2="mil",1,0.0254)*7000),"Pass",IF($B$2="mil",1,0.0254)*7000-$S87)</f>
        <v>#REF!</v>
      </c>
      <c r="AJ87" s="4" t="e">
        <f t="shared" ca="1" si="40"/>
        <v>#REF!</v>
      </c>
      <c r="AK87" s="4" t="e">
        <f ca="1">IF(AND(AJ97="Pass",AJ98="Pass",AJ99="Pass",AJ101="Pass",AJ102="Pass",AJ103="Pass",AJ105="Pass",AJ106="Pass",AJ107="Pass"),"Pass","Fail")</f>
        <v>#REF!</v>
      </c>
    </row>
    <row r="88" spans="14:37" x14ac:dyDescent="0.2">
      <c r="N88" s="217" t="s">
        <v>88</v>
      </c>
      <c r="O88" s="217"/>
      <c r="P88" s="270">
        <v>500</v>
      </c>
      <c r="Q88" s="364">
        <v>112.45</v>
      </c>
      <c r="R88" s="490">
        <f t="shared" si="41"/>
        <v>3249.34</v>
      </c>
      <c r="S88" s="469" t="e">
        <f t="shared" si="42"/>
        <v>#REF!</v>
      </c>
      <c r="T88" s="469" t="e">
        <f>$U$84 + IF($B$2="mil",1,0.0254)*DDR2Specs!$E$9</f>
        <v>#REF!</v>
      </c>
      <c r="U88" s="469" t="e">
        <f>$T$84 + IF($B$2="mil",1,0.0254)*DDR2Specs!$F$9</f>
        <v>#REF!</v>
      </c>
      <c r="V88" s="491" t="e">
        <f t="shared" si="38"/>
        <v>#REF!</v>
      </c>
      <c r="W88" s="492" t="e">
        <f t="shared" si="39"/>
        <v>#REF!</v>
      </c>
      <c r="AB88" s="510" t="s">
        <v>88</v>
      </c>
      <c r="AC88" s="504" t="e">
        <f t="shared" si="43"/>
        <v>#REF!</v>
      </c>
      <c r="AF88" s="505" t="s">
        <v>88</v>
      </c>
      <c r="AG88" s="473" t="e">
        <f t="shared" ca="1" si="44"/>
        <v>#NAME?</v>
      </c>
      <c r="AH88" s="473" t="e">
        <f t="shared" si="45"/>
        <v>#REF!</v>
      </c>
      <c r="AI88" s="504" t="e">
        <f t="shared" si="46"/>
        <v>#REF!</v>
      </c>
      <c r="AJ88" s="4" t="e">
        <f t="shared" ca="1" si="40"/>
        <v>#REF!</v>
      </c>
    </row>
    <row r="89" spans="14:37" x14ac:dyDescent="0.2">
      <c r="N89" s="217" t="s">
        <v>89</v>
      </c>
      <c r="O89" s="217"/>
      <c r="P89" s="270">
        <v>300</v>
      </c>
      <c r="Q89" s="364">
        <v>76.09</v>
      </c>
      <c r="R89" s="490">
        <f t="shared" si="41"/>
        <v>3264.9</v>
      </c>
      <c r="S89" s="469" t="e">
        <f t="shared" si="42"/>
        <v>#REF!</v>
      </c>
      <c r="T89" s="469" t="e">
        <f>$U$84 + IF($B$2="mil",1,0.0254)*DDR2Specs!$E$9</f>
        <v>#REF!</v>
      </c>
      <c r="U89" s="469" t="e">
        <f>$T$84 + IF($B$2="mil",1,0.0254)*DDR2Specs!$F$9</f>
        <v>#REF!</v>
      </c>
      <c r="V89" s="491" t="e">
        <f t="shared" si="38"/>
        <v>#REF!</v>
      </c>
      <c r="W89" s="492" t="e">
        <f t="shared" si="39"/>
        <v>#REF!</v>
      </c>
      <c r="AB89" s="510" t="s">
        <v>89</v>
      </c>
      <c r="AC89" s="504" t="e">
        <f t="shared" si="43"/>
        <v>#REF!</v>
      </c>
      <c r="AF89" s="505" t="s">
        <v>89</v>
      </c>
      <c r="AG89" s="473" t="e">
        <f t="shared" ca="1" si="44"/>
        <v>#NAME?</v>
      </c>
      <c r="AH89" s="473" t="e">
        <f t="shared" si="45"/>
        <v>#REF!</v>
      </c>
      <c r="AI89" s="504" t="e">
        <f t="shared" si="46"/>
        <v>#REF!</v>
      </c>
      <c r="AJ89" s="4" t="e">
        <f t="shared" ca="1" si="40"/>
        <v>#REF!</v>
      </c>
    </row>
    <row r="90" spans="14:37" x14ac:dyDescent="0.2">
      <c r="N90" s="217" t="s">
        <v>90</v>
      </c>
      <c r="O90" s="217"/>
      <c r="P90" s="270">
        <v>600</v>
      </c>
      <c r="Q90" s="364">
        <v>70.48</v>
      </c>
      <c r="R90" s="490">
        <f t="shared" si="41"/>
        <v>3139.4900000000002</v>
      </c>
      <c r="S90" s="469" t="e">
        <f t="shared" si="42"/>
        <v>#REF!</v>
      </c>
      <c r="T90" s="469" t="e">
        <f>$U$84 + IF($B$2="mil",1,0.0254)*DDR2Specs!$E$9</f>
        <v>#REF!</v>
      </c>
      <c r="U90" s="469" t="e">
        <f>$T$84 + IF($B$2="mil",1,0.0254)*DDR2Specs!$F$9</f>
        <v>#REF!</v>
      </c>
      <c r="V90" s="491" t="e">
        <f t="shared" si="38"/>
        <v>#REF!</v>
      </c>
      <c r="W90" s="492" t="e">
        <f t="shared" si="39"/>
        <v>#REF!</v>
      </c>
      <c r="AB90" s="510" t="s">
        <v>90</v>
      </c>
      <c r="AC90" s="504" t="e">
        <f t="shared" si="43"/>
        <v>#REF!</v>
      </c>
      <c r="AF90" s="505" t="s">
        <v>90</v>
      </c>
      <c r="AG90" s="473" t="e">
        <f t="shared" ca="1" si="44"/>
        <v>#NAME?</v>
      </c>
      <c r="AH90" s="473" t="e">
        <f t="shared" si="45"/>
        <v>#REF!</v>
      </c>
      <c r="AI90" s="504" t="e">
        <f t="shared" si="46"/>
        <v>#REF!</v>
      </c>
      <c r="AJ90" s="4" t="e">
        <f t="shared" ca="1" si="40"/>
        <v>#REF!</v>
      </c>
    </row>
    <row r="91" spans="14:37" x14ac:dyDescent="0.2">
      <c r="N91" s="217" t="s">
        <v>91</v>
      </c>
      <c r="O91" s="217"/>
      <c r="P91" s="270">
        <v>200</v>
      </c>
      <c r="Q91" s="364">
        <v>45.3</v>
      </c>
      <c r="R91" s="490">
        <f t="shared" si="41"/>
        <v>3286.37</v>
      </c>
      <c r="S91" s="469" t="e">
        <f t="shared" si="42"/>
        <v>#REF!</v>
      </c>
      <c r="T91" s="469" t="e">
        <f>$U$84 + IF($B$2="mil",1,0.0254)*DDR2Specs!$E$9</f>
        <v>#REF!</v>
      </c>
      <c r="U91" s="469" t="e">
        <f>$T$84 + IF($B$2="mil",1,0.0254)*DDR2Specs!$F$9</f>
        <v>#REF!</v>
      </c>
      <c r="V91" s="491" t="e">
        <f t="shared" si="38"/>
        <v>#REF!</v>
      </c>
      <c r="W91" s="492" t="e">
        <f t="shared" si="39"/>
        <v>#REF!</v>
      </c>
      <c r="AB91" s="510" t="s">
        <v>91</v>
      </c>
      <c r="AC91" s="504" t="e">
        <f t="shared" si="43"/>
        <v>#REF!</v>
      </c>
      <c r="AF91" s="505" t="s">
        <v>91</v>
      </c>
      <c r="AG91" s="473" t="e">
        <f t="shared" ca="1" si="44"/>
        <v>#NAME?</v>
      </c>
      <c r="AH91" s="473" t="e">
        <f t="shared" si="45"/>
        <v>#REF!</v>
      </c>
      <c r="AI91" s="504" t="e">
        <f t="shared" si="46"/>
        <v>#REF!</v>
      </c>
      <c r="AJ91" s="4" t="e">
        <f t="shared" ca="1" si="40"/>
        <v>#REF!</v>
      </c>
    </row>
    <row r="92" spans="14:37" x14ac:dyDescent="0.2">
      <c r="N92" s="217" t="s">
        <v>92</v>
      </c>
      <c r="O92" s="217"/>
      <c r="P92" s="270">
        <v>200</v>
      </c>
      <c r="Q92" s="364">
        <v>76.069999999999993</v>
      </c>
      <c r="R92" s="490">
        <f t="shared" si="41"/>
        <v>3342</v>
      </c>
      <c r="S92" s="469" t="e">
        <f t="shared" si="42"/>
        <v>#REF!</v>
      </c>
      <c r="T92" s="469" t="e">
        <f>$U$84 + IF($B$2="mil",1,0.0254)*DDR2Specs!$E$9</f>
        <v>#REF!</v>
      </c>
      <c r="U92" s="469" t="e">
        <f>$T$84 + IF($B$2="mil",1,0.0254)*DDR2Specs!$F$9</f>
        <v>#REF!</v>
      </c>
      <c r="V92" s="491" t="e">
        <f t="shared" si="38"/>
        <v>#REF!</v>
      </c>
      <c r="W92" s="492" t="e">
        <f t="shared" si="39"/>
        <v>#REF!</v>
      </c>
      <c r="AB92" s="510" t="s">
        <v>92</v>
      </c>
      <c r="AC92" s="504" t="e">
        <f t="shared" si="43"/>
        <v>#REF!</v>
      </c>
      <c r="AF92" s="505" t="s">
        <v>92</v>
      </c>
      <c r="AG92" s="473" t="e">
        <f t="shared" ca="1" si="44"/>
        <v>#NAME?</v>
      </c>
      <c r="AH92" s="473" t="e">
        <f t="shared" si="45"/>
        <v>#REF!</v>
      </c>
      <c r="AI92" s="504" t="e">
        <f t="shared" si="46"/>
        <v>#REF!</v>
      </c>
      <c r="AJ92" s="4" t="e">
        <f t="shared" ca="1" si="40"/>
        <v>#REF!</v>
      </c>
    </row>
    <row r="93" spans="14:37" x14ac:dyDescent="0.2">
      <c r="N93" s="217" t="s">
        <v>94</v>
      </c>
      <c r="O93" s="217"/>
      <c r="P93" s="270">
        <v>200</v>
      </c>
      <c r="Q93" s="364">
        <v>76.09</v>
      </c>
      <c r="R93" s="490">
        <f t="shared" si="41"/>
        <v>3234.04</v>
      </c>
      <c r="S93" s="469" t="e">
        <f t="shared" si="42"/>
        <v>#REF!</v>
      </c>
      <c r="T93" s="469" t="e">
        <f>$U$84 + IF($B$2="mil",1,0.0254)*DDR2Specs!$E$9</f>
        <v>#REF!</v>
      </c>
      <c r="U93" s="469" t="e">
        <f>$T$84 + IF($B$2="mil",1,0.0254)*DDR2Specs!$F$9</f>
        <v>#REF!</v>
      </c>
      <c r="V93" s="491" t="e">
        <f t="shared" si="38"/>
        <v>#REF!</v>
      </c>
      <c r="W93" s="492" t="e">
        <f t="shared" si="39"/>
        <v>#REF!</v>
      </c>
      <c r="AB93" s="510" t="s">
        <v>94</v>
      </c>
      <c r="AC93" s="504" t="e">
        <f t="shared" si="43"/>
        <v>#REF!</v>
      </c>
      <c r="AF93" s="505" t="s">
        <v>94</v>
      </c>
      <c r="AG93" s="473" t="e">
        <f t="shared" ca="1" si="44"/>
        <v>#NAME?</v>
      </c>
      <c r="AH93" s="473" t="e">
        <f t="shared" si="45"/>
        <v>#REF!</v>
      </c>
      <c r="AI93" s="504" t="e">
        <f t="shared" si="46"/>
        <v>#REF!</v>
      </c>
      <c r="AJ93" s="4" t="e">
        <f t="shared" ca="1" si="40"/>
        <v>#REF!</v>
      </c>
    </row>
    <row r="94" spans="14:37" x14ac:dyDescent="0.2">
      <c r="N94" s="217" t="s">
        <v>95</v>
      </c>
      <c r="O94" s="217"/>
      <c r="P94" s="270">
        <v>750</v>
      </c>
      <c r="Q94" s="364">
        <v>55.8</v>
      </c>
      <c r="R94" s="490">
        <f t="shared" si="41"/>
        <v>3266.4100000000003</v>
      </c>
      <c r="S94" s="469" t="e">
        <f t="shared" si="42"/>
        <v>#REF!</v>
      </c>
      <c r="T94" s="469" t="e">
        <f>$U$84 + IF($B$2="mil",1,0.0254)*DDR2Specs!$E$9</f>
        <v>#REF!</v>
      </c>
      <c r="U94" s="469" t="e">
        <f>$T$84 + IF($B$2="mil",1,0.0254)*DDR2Specs!$F$9</f>
        <v>#REF!</v>
      </c>
      <c r="V94" s="491" t="e">
        <f t="shared" si="38"/>
        <v>#REF!</v>
      </c>
      <c r="W94" s="492" t="e">
        <f t="shared" si="39"/>
        <v>#REF!</v>
      </c>
      <c r="AB94" s="510" t="s">
        <v>95</v>
      </c>
      <c r="AC94" s="504" t="e">
        <f t="shared" si="43"/>
        <v>#REF!</v>
      </c>
      <c r="AF94" s="505" t="s">
        <v>95</v>
      </c>
      <c r="AG94" s="473" t="e">
        <f t="shared" ca="1" si="44"/>
        <v>#NAME?</v>
      </c>
      <c r="AH94" s="473" t="e">
        <f t="shared" si="45"/>
        <v>#REF!</v>
      </c>
      <c r="AI94" s="504" t="e">
        <f t="shared" si="46"/>
        <v>#REF!</v>
      </c>
      <c r="AJ94" s="4" t="e">
        <f t="shared" ca="1" si="40"/>
        <v>#REF!</v>
      </c>
    </row>
    <row r="95" spans="14:37" x14ac:dyDescent="0.2">
      <c r="N95" s="217" t="s">
        <v>96</v>
      </c>
      <c r="O95" s="217"/>
      <c r="P95" s="270">
        <v>350</v>
      </c>
      <c r="Q95" s="364">
        <v>73.59</v>
      </c>
      <c r="R95" s="490">
        <f t="shared" si="41"/>
        <v>3536.25</v>
      </c>
      <c r="S95" s="469" t="e">
        <f t="shared" si="42"/>
        <v>#REF!</v>
      </c>
      <c r="T95" s="469" t="e">
        <f>$U$84 + IF($B$2="mil",1,0.0254)*DDR2Specs!$E$9</f>
        <v>#REF!</v>
      </c>
      <c r="U95" s="469" t="e">
        <f>$T$84 + IF($B$2="mil",1,0.0254)*DDR2Specs!$F$9</f>
        <v>#REF!</v>
      </c>
      <c r="V95" s="491" t="e">
        <f t="shared" si="38"/>
        <v>#REF!</v>
      </c>
      <c r="W95" s="492" t="e">
        <f t="shared" si="39"/>
        <v>#REF!</v>
      </c>
      <c r="AB95" s="510" t="s">
        <v>96</v>
      </c>
      <c r="AC95" s="504" t="e">
        <f t="shared" si="43"/>
        <v>#REF!</v>
      </c>
      <c r="AF95" s="505" t="s">
        <v>96</v>
      </c>
      <c r="AG95" s="473" t="e">
        <f t="shared" ca="1" si="44"/>
        <v>#NAME?</v>
      </c>
      <c r="AH95" s="473" t="e">
        <f t="shared" si="45"/>
        <v>#REF!</v>
      </c>
      <c r="AI95" s="504" t="e">
        <f t="shared" si="46"/>
        <v>#REF!</v>
      </c>
      <c r="AJ95" s="4" t="e">
        <f t="shared" ca="1" si="40"/>
        <v>#REF!</v>
      </c>
    </row>
    <row r="96" spans="14:37" x14ac:dyDescent="0.2">
      <c r="N96" s="217" t="s">
        <v>98</v>
      </c>
      <c r="O96" s="217"/>
      <c r="P96" s="270">
        <v>250</v>
      </c>
      <c r="Q96" s="364">
        <v>31.54</v>
      </c>
      <c r="R96" s="490">
        <f t="shared" si="41"/>
        <v>3340.33</v>
      </c>
      <c r="S96" s="469" t="e">
        <f t="shared" si="42"/>
        <v>#REF!</v>
      </c>
      <c r="T96" s="469" t="e">
        <f>$U$84 + IF($B$2="mil",1,0.0254)*DDR2Specs!$E$9</f>
        <v>#REF!</v>
      </c>
      <c r="U96" s="469" t="e">
        <f>$T$84 + IF($B$2="mil",1,0.0254)*DDR2Specs!$F$9</f>
        <v>#REF!</v>
      </c>
      <c r="V96" s="491" t="e">
        <f t="shared" si="38"/>
        <v>#REF!</v>
      </c>
      <c r="W96" s="492" t="e">
        <f t="shared" si="39"/>
        <v>#REF!</v>
      </c>
      <c r="AB96" s="510" t="s">
        <v>98</v>
      </c>
      <c r="AC96" s="504" t="e">
        <f t="shared" si="43"/>
        <v>#REF!</v>
      </c>
      <c r="AF96" s="505" t="s">
        <v>98</v>
      </c>
      <c r="AG96" s="473" t="e">
        <f t="shared" ca="1" si="44"/>
        <v>#NAME?</v>
      </c>
      <c r="AH96" s="473" t="e">
        <f t="shared" si="45"/>
        <v>#REF!</v>
      </c>
      <c r="AI96" s="504" t="e">
        <f t="shared" si="46"/>
        <v>#REF!</v>
      </c>
      <c r="AJ96" s="4" t="e">
        <f t="shared" ca="1" si="40"/>
        <v>#REF!</v>
      </c>
    </row>
    <row r="97" spans="14:37" x14ac:dyDescent="0.2">
      <c r="N97" s="217" t="s">
        <v>99</v>
      </c>
      <c r="O97" s="217"/>
      <c r="P97" s="270">
        <v>250</v>
      </c>
      <c r="Q97" s="364">
        <v>69.180000000000007</v>
      </c>
      <c r="R97" s="490">
        <f t="shared" si="41"/>
        <v>3405.41</v>
      </c>
      <c r="S97" s="469" t="e">
        <f t="shared" si="42"/>
        <v>#REF!</v>
      </c>
      <c r="T97" s="469" t="e">
        <f>$U$84 + IF($B$2="mil",1,0.0254)*DDR2Specs!$E$9</f>
        <v>#REF!</v>
      </c>
      <c r="U97" s="469" t="e">
        <f>$T$84 + IF($B$2="mil",1,0.0254)*DDR2Specs!$F$9</f>
        <v>#REF!</v>
      </c>
      <c r="V97" s="491" t="e">
        <f t="shared" si="38"/>
        <v>#REF!</v>
      </c>
      <c r="W97" s="492" t="e">
        <f t="shared" si="39"/>
        <v>#REF!</v>
      </c>
      <c r="AB97" s="510" t="s">
        <v>99</v>
      </c>
      <c r="AC97" s="504" t="e">
        <f t="shared" si="43"/>
        <v>#REF!</v>
      </c>
      <c r="AF97" s="505" t="s">
        <v>99</v>
      </c>
      <c r="AG97" s="473" t="e">
        <f t="shared" ca="1" si="44"/>
        <v>#NAME?</v>
      </c>
      <c r="AH97" s="473" t="e">
        <f t="shared" si="45"/>
        <v>#REF!</v>
      </c>
      <c r="AI97" s="504" t="e">
        <f t="shared" si="46"/>
        <v>#REF!</v>
      </c>
      <c r="AJ97" s="4" t="e">
        <f t="shared" ca="1" si="40"/>
        <v>#REF!</v>
      </c>
    </row>
    <row r="98" spans="14:37" x14ac:dyDescent="0.2">
      <c r="N98" s="217" t="s">
        <v>100</v>
      </c>
      <c r="O98" s="217"/>
      <c r="P98" s="270">
        <v>140</v>
      </c>
      <c r="Q98" s="364">
        <v>29.07</v>
      </c>
      <c r="R98" s="490">
        <f t="shared" si="41"/>
        <v>3463.34</v>
      </c>
      <c r="S98" s="469" t="e">
        <f t="shared" si="42"/>
        <v>#REF!</v>
      </c>
      <c r="T98" s="469" t="e">
        <f>$U$84 + IF($B$2="mil",1,0.0254)*DDR2Specs!$E$9</f>
        <v>#REF!</v>
      </c>
      <c r="U98" s="469" t="e">
        <f>$T$84 + IF($B$2="mil",1,0.0254)*DDR2Specs!$F$9</f>
        <v>#REF!</v>
      </c>
      <c r="V98" s="491" t="e">
        <f t="shared" si="38"/>
        <v>#REF!</v>
      </c>
      <c r="W98" s="492" t="e">
        <f t="shared" si="39"/>
        <v>#REF!</v>
      </c>
      <c r="AB98" s="510" t="s">
        <v>100</v>
      </c>
      <c r="AC98" s="504" t="e">
        <f t="shared" si="43"/>
        <v>#REF!</v>
      </c>
      <c r="AF98" s="505" t="s">
        <v>100</v>
      </c>
      <c r="AG98" s="473" t="e">
        <f t="shared" ca="1" si="44"/>
        <v>#NAME?</v>
      </c>
      <c r="AH98" s="473" t="e">
        <f t="shared" si="45"/>
        <v>#REF!</v>
      </c>
      <c r="AI98" s="504" t="e">
        <f t="shared" si="46"/>
        <v>#REF!</v>
      </c>
      <c r="AJ98" s="4" t="e">
        <f t="shared" ca="1" si="40"/>
        <v>#REF!</v>
      </c>
    </row>
    <row r="99" spans="14:37" x14ac:dyDescent="0.2">
      <c r="N99" s="217" t="s">
        <v>101</v>
      </c>
      <c r="O99" s="217"/>
      <c r="P99" s="270">
        <v>120</v>
      </c>
      <c r="Q99" s="364">
        <v>29.07</v>
      </c>
      <c r="R99" s="490">
        <f t="shared" si="41"/>
        <v>3343.34</v>
      </c>
      <c r="S99" s="469" t="e">
        <f t="shared" si="42"/>
        <v>#REF!</v>
      </c>
      <c r="T99" s="469" t="e">
        <f>$U$84 + IF($B$2="mil",1,0.0254)*DDR2Specs!$E$9</f>
        <v>#REF!</v>
      </c>
      <c r="U99" s="469" t="e">
        <f>$T$84 + IF($B$2="mil",1,0.0254)*DDR2Specs!$F$9</f>
        <v>#REF!</v>
      </c>
      <c r="V99" s="491" t="e">
        <f t="shared" si="38"/>
        <v>#REF!</v>
      </c>
      <c r="W99" s="492" t="e">
        <f t="shared" si="39"/>
        <v>#REF!</v>
      </c>
      <c r="AB99" s="510" t="s">
        <v>101</v>
      </c>
      <c r="AC99" s="504" t="e">
        <f t="shared" si="43"/>
        <v>#REF!</v>
      </c>
      <c r="AF99" s="505" t="s">
        <v>101</v>
      </c>
      <c r="AG99" s="473" t="e">
        <f t="shared" ca="1" si="44"/>
        <v>#NAME?</v>
      </c>
      <c r="AH99" s="473" t="e">
        <f t="shared" si="45"/>
        <v>#REF!</v>
      </c>
      <c r="AI99" s="504" t="e">
        <f t="shared" si="46"/>
        <v>#REF!</v>
      </c>
      <c r="AJ99" s="4" t="e">
        <f t="shared" ca="1" si="40"/>
        <v>#REF!</v>
      </c>
    </row>
    <row r="100" spans="14:37" x14ac:dyDescent="0.2">
      <c r="N100" s="180" t="s">
        <v>278</v>
      </c>
      <c r="O100" s="180"/>
      <c r="P100" s="298"/>
      <c r="Q100" s="291"/>
      <c r="R100" s="182"/>
      <c r="S100" s="182"/>
      <c r="T100" s="182"/>
      <c r="U100" s="182"/>
      <c r="V100" s="385"/>
      <c r="W100" s="385"/>
      <c r="AB100" s="134" t="s">
        <v>278</v>
      </c>
      <c r="AC100" s="244"/>
      <c r="AF100" s="415" t="s">
        <v>278</v>
      </c>
      <c r="AG100" s="155"/>
      <c r="AH100" s="155"/>
      <c r="AI100" s="506"/>
    </row>
    <row r="101" spans="14:37" x14ac:dyDescent="0.2">
      <c r="N101" s="162" t="s">
        <v>102</v>
      </c>
      <c r="O101" s="162"/>
      <c r="P101" s="270">
        <v>40.28</v>
      </c>
      <c r="Q101" s="304">
        <v>75.430000000000007</v>
      </c>
      <c r="R101" s="490">
        <f t="shared" si="41"/>
        <v>3396.0499999999997</v>
      </c>
      <c r="S101" s="469" t="e">
        <f t="shared" si="42"/>
        <v>#REF!</v>
      </c>
      <c r="T101" s="469" t="e">
        <f>$U$84 + IF($B$2="mil",1,0.0254)*DDR2Specs!$E$9</f>
        <v>#REF!</v>
      </c>
      <c r="U101" s="469" t="e">
        <f>$T$84 + IF($B$2="mil",1,0.0254)*DDR2Specs!$F$9</f>
        <v>#REF!</v>
      </c>
      <c r="V101" s="491" t="e">
        <f>IF($S101&lt;$T101,$T101-$S101,"Pass")</f>
        <v>#REF!</v>
      </c>
      <c r="W101" s="492" t="e">
        <f>IF($S101&gt;$U101,$S101-$U101,"Pass")</f>
        <v>#REF!</v>
      </c>
      <c r="AB101" s="509" t="s">
        <v>102</v>
      </c>
      <c r="AC101" s="504" t="e">
        <f>IF(P101&lt;=IF($B$2="mil",1,0.0254)*1000,"Pass",IF($B$2="mil",1,0.0254)*1000-P101)</f>
        <v>#REF!</v>
      </c>
      <c r="AF101" s="503" t="s">
        <v>102</v>
      </c>
      <c r="AG101" s="473" t="e">
        <f ca="1">CheckLength2(IF($B$2="mil",1,0.0254)*1200,P101,Q101,0)</f>
        <v>#NAME?</v>
      </c>
      <c r="AH101" s="473" t="e">
        <f>IF(AND(R101&gt;=IF($B$2="mil",1,0.0254)*500, $R101&lt;=IF($B$2="mil",1,0.0254)*6500),"Pass",IF($B$2="mil",1,0.0254)*6500-$R101)</f>
        <v>#REF!</v>
      </c>
      <c r="AI101" s="504" t="e">
        <f>IF(AND($S101&gt;=IF($B$2="mil",1,0.0254)*500, $S101&lt;=IF($B$2="mil",1,0.0254)*7000),"Pass",IF($B$2="mil",1,0.0254)*7000-$S101)</f>
        <v>#REF!</v>
      </c>
      <c r="AJ101" s="4" t="e">
        <f ca="1">IF(AND(V101="Pass",W101="Pass",AG101="Pass",AH101="Pass",AI101="Pass"),"Pass","Fail")</f>
        <v>#REF!</v>
      </c>
    </row>
    <row r="102" spans="14:37" x14ac:dyDescent="0.2">
      <c r="N102" s="216" t="s">
        <v>103</v>
      </c>
      <c r="O102" s="216"/>
      <c r="P102" s="270">
        <v>313.86</v>
      </c>
      <c r="Q102" s="305">
        <v>58.08</v>
      </c>
      <c r="R102" s="490">
        <f t="shared" si="41"/>
        <v>3424.1099999999997</v>
      </c>
      <c r="S102" s="469" t="e">
        <f t="shared" si="42"/>
        <v>#REF!</v>
      </c>
      <c r="T102" s="469" t="e">
        <f>$U$84 + IF($B$2="mil",1,0.0254)*DDR2Specs!$E$9</f>
        <v>#REF!</v>
      </c>
      <c r="U102" s="469" t="e">
        <f>$T$84 + IF($B$2="mil",1,0.0254)*DDR2Specs!$F$9</f>
        <v>#REF!</v>
      </c>
      <c r="V102" s="491" t="e">
        <f>IF($S102&lt;$T102,$T102-$S102,"Pass")</f>
        <v>#REF!</v>
      </c>
      <c r="W102" s="492" t="e">
        <f>IF($S102&gt;$U102,$S102-$U102,"Pass")</f>
        <v>#REF!</v>
      </c>
      <c r="AB102" s="511" t="s">
        <v>103</v>
      </c>
      <c r="AC102" s="504" t="e">
        <f>IF(P102&lt;=IF($B$2="mil",1,0.0254)*1000,"Pass",IF($B$2="mil",1,0.0254)*1000-P102)</f>
        <v>#REF!</v>
      </c>
      <c r="AF102" s="507" t="s">
        <v>103</v>
      </c>
      <c r="AG102" s="473" t="e">
        <f ca="1">CheckLength2(IF($B$2="mil",1,0.0254)*1200,P102,Q102,0)</f>
        <v>#NAME?</v>
      </c>
      <c r="AH102" s="473" t="e">
        <f>IF(AND(R102&gt;=IF($B$2="mil",1,0.0254)*500, $R102&lt;=IF($B$2="mil",1,0.0254)*6500),"Pass",IF($B$2="mil",1,0.0254)*6500-$R102)</f>
        <v>#REF!</v>
      </c>
      <c r="AI102" s="504" t="e">
        <f>IF(AND($S102&gt;=IF($B$2="mil",1,0.0254)*500, $S102&lt;=IF($B$2="mil",1,0.0254)*7000),"Pass",IF($B$2="mil",1,0.0254)*7000-$S102)</f>
        <v>#REF!</v>
      </c>
      <c r="AJ102" s="4" t="e">
        <f ca="1">IF(AND(V102="Pass",W102="Pass",AG102="Pass",AH102="Pass",AI102="Pass"),"Pass","Fail")</f>
        <v>#REF!</v>
      </c>
    </row>
    <row r="103" spans="14:37" x14ac:dyDescent="0.2">
      <c r="N103" s="216" t="s">
        <v>104</v>
      </c>
      <c r="O103" s="216"/>
      <c r="P103" s="270">
        <v>477.88</v>
      </c>
      <c r="Q103" s="303">
        <v>78.75</v>
      </c>
      <c r="R103" s="490">
        <f t="shared" si="41"/>
        <v>3288.22</v>
      </c>
      <c r="S103" s="469" t="e">
        <f t="shared" si="42"/>
        <v>#REF!</v>
      </c>
      <c r="T103" s="469" t="e">
        <f>$U$84 + IF($B$2="mil",1,0.0254)*DDR2Specs!$E$9</f>
        <v>#REF!</v>
      </c>
      <c r="U103" s="469" t="e">
        <f>$T$84 + IF($B$2="mil",1,0.0254)*DDR2Specs!$F$9</f>
        <v>#REF!</v>
      </c>
      <c r="V103" s="491" t="e">
        <f>IF($S103&lt;$T103,$T103-$S103,"Pass")</f>
        <v>#REF!</v>
      </c>
      <c r="W103" s="492" t="e">
        <f>IF($S103&gt;$U103,$S103-$U103,"Pass")</f>
        <v>#REF!</v>
      </c>
      <c r="AB103" s="511" t="s">
        <v>104</v>
      </c>
      <c r="AC103" s="504" t="e">
        <f>IF(P103&lt;=IF($B$2="mil",1,0.0254)*1000,"Pass",IF($B$2="mil",1,0.0254)*1000-P103)</f>
        <v>#REF!</v>
      </c>
      <c r="AF103" s="507" t="s">
        <v>104</v>
      </c>
      <c r="AG103" s="473" t="e">
        <f ca="1">CheckLength2(IF($B$2="mil",1,0.0254)*1200,P103,Q103,0)</f>
        <v>#NAME?</v>
      </c>
      <c r="AH103" s="473" t="e">
        <f>IF(AND(R103&gt;=IF($B$2="mil",1,0.0254)*500, $R103&lt;=IF($B$2="mil",1,0.0254)*6500),"Pass",IF($B$2="mil",1,0.0254)*6500-$R103)</f>
        <v>#REF!</v>
      </c>
      <c r="AI103" s="504" t="e">
        <f>IF(AND($S103&gt;=IF($B$2="mil",1,0.0254)*500, $S103&lt;=IF($B$2="mil",1,0.0254)*7000),"Pass",IF($B$2="mil",1,0.0254)*7000-$S103)</f>
        <v>#REF!</v>
      </c>
      <c r="AJ103" s="4" t="e">
        <f ca="1">IF(AND(V103="Pass",W103="Pass",AG103="Pass",AH103="Pass",AI103="Pass"),"Pass","Fail")</f>
        <v>#REF!</v>
      </c>
    </row>
    <row r="104" spans="14:37" x14ac:dyDescent="0.2">
      <c r="N104" s="180" t="s">
        <v>279</v>
      </c>
      <c r="O104" s="180"/>
      <c r="P104" s="298"/>
      <c r="Q104" s="182"/>
      <c r="R104" s="182"/>
      <c r="S104" s="182"/>
      <c r="T104" s="182"/>
      <c r="U104" s="182"/>
      <c r="V104" s="385"/>
      <c r="W104" s="385"/>
      <c r="AB104" s="134" t="s">
        <v>279</v>
      </c>
      <c r="AC104" s="506"/>
      <c r="AF104" s="415" t="s">
        <v>279</v>
      </c>
      <c r="AG104" s="385"/>
      <c r="AH104" s="385"/>
      <c r="AI104" s="506"/>
    </row>
    <row r="105" spans="14:37" x14ac:dyDescent="0.2">
      <c r="N105" s="162" t="s">
        <v>106</v>
      </c>
      <c r="O105" s="162"/>
      <c r="P105" s="270">
        <v>327.79</v>
      </c>
      <c r="Q105" s="303">
        <v>27.77</v>
      </c>
      <c r="R105" s="490">
        <f t="shared" si="41"/>
        <v>3235.8999999999996</v>
      </c>
      <c r="S105" s="469" t="e">
        <f t="shared" si="42"/>
        <v>#REF!</v>
      </c>
      <c r="T105" s="469" t="e">
        <f>$U$84 + IF($B$2="mil",1,0.0254)*DDR2Specs!$E$9</f>
        <v>#REF!</v>
      </c>
      <c r="U105" s="469" t="e">
        <f>$T$84 + IF($B$2="mil",1,0.0254)*DDR2Specs!$F$9</f>
        <v>#REF!</v>
      </c>
      <c r="V105" s="491" t="e">
        <f>IF($S105&lt;$T105,$T105-$S105,"Pass")</f>
        <v>#REF!</v>
      </c>
      <c r="W105" s="492" t="e">
        <f>IF($S105&gt;$U105,$S105-$U105,"Pass")</f>
        <v>#REF!</v>
      </c>
      <c r="AB105" s="509" t="s">
        <v>106</v>
      </c>
      <c r="AC105" s="504" t="e">
        <f>IF(P105&lt;=IF($B$2="mil",1,0.0254)*1000,"Pass",IF($B$2="mil",1,0.0254)*1000-P105)</f>
        <v>#REF!</v>
      </c>
      <c r="AF105" s="503" t="s">
        <v>106</v>
      </c>
      <c r="AG105" s="473" t="e">
        <f ca="1">CheckLength2(IF($B$2="mil",1,0.0254)*1200,P105,Q105,0)</f>
        <v>#NAME?</v>
      </c>
      <c r="AH105" s="473" t="e">
        <f>IF(AND(R105&gt;=IF($B$2="mil",1,0.0254)*500, $R105&lt;=IF($B$2="mil",1,0.0254)*6500),"Pass",IF($B$2="mil",1,0.0254)*6500-$R105)</f>
        <v>#REF!</v>
      </c>
      <c r="AI105" s="504" t="e">
        <f>IF(AND($S105&gt;=IF($B$2="mil",1,0.0254)*500, $S105&lt;=IF($B$2="mil",1,0.0254)*7000),"Pass",IF($B$2="mil",1,0.0254)*7000-$S105)</f>
        <v>#REF!</v>
      </c>
      <c r="AJ105" s="4" t="e">
        <f ca="1">IF(AND(V105="Pass",W105="Pass",AG105="Pass",AH105="Pass",AI105="Pass"),"Pass","Fail")</f>
        <v>#REF!</v>
      </c>
    </row>
    <row r="106" spans="14:37" x14ac:dyDescent="0.2">
      <c r="N106" s="217" t="s">
        <v>107</v>
      </c>
      <c r="O106" s="217"/>
      <c r="P106" s="270">
        <v>251.98</v>
      </c>
      <c r="Q106" s="303">
        <v>56.02</v>
      </c>
      <c r="R106" s="490">
        <f t="shared" si="41"/>
        <v>3260.1699999999996</v>
      </c>
      <c r="S106" s="469" t="e">
        <f t="shared" si="42"/>
        <v>#REF!</v>
      </c>
      <c r="T106" s="469" t="e">
        <f>$U$84 + IF($B$2="mil",1,0.0254)*DDR2Specs!$E$9</f>
        <v>#REF!</v>
      </c>
      <c r="U106" s="469" t="e">
        <f>$T$84 + IF($B$2="mil",1,0.0254)*DDR2Specs!$F$9</f>
        <v>#REF!</v>
      </c>
      <c r="V106" s="491" t="e">
        <f>IF($S106&lt;$T106,$T106-$S106,"Pass")</f>
        <v>#REF!</v>
      </c>
      <c r="W106" s="492" t="e">
        <f>IF($S106&gt;$U106,$S106-$U106,"Pass")</f>
        <v>#REF!</v>
      </c>
      <c r="AB106" s="510" t="s">
        <v>107</v>
      </c>
      <c r="AC106" s="504" t="e">
        <f>IF(P106&lt;=IF($B$2="mil",1,0.0254)*1000,"Pass",IF($B$2="mil",1,0.0254)*1000-P106)</f>
        <v>#REF!</v>
      </c>
      <c r="AF106" s="505" t="s">
        <v>107</v>
      </c>
      <c r="AG106" s="473" t="e">
        <f ca="1">CheckLength2(IF($B$2="mil",1,0.0254)*1200,P106,Q106,0)</f>
        <v>#NAME?</v>
      </c>
      <c r="AH106" s="473" t="e">
        <f>IF(AND(R106&gt;=IF($B$2="mil",1,0.0254)*500, $R106&lt;=IF($B$2="mil",1,0.0254)*6500),"Pass",IF($B$2="mil",1,0.0254)*6500-$R106)</f>
        <v>#REF!</v>
      </c>
      <c r="AI106" s="504" t="e">
        <f>IF(AND($S106&gt;=IF($B$2="mil",1,0.0254)*500, $S106&lt;=IF($B$2="mil",1,0.0254)*7000),"Pass",IF($B$2="mil",1,0.0254)*7000-$S106)</f>
        <v>#REF!</v>
      </c>
      <c r="AJ106" s="4" t="e">
        <f ca="1">IF(AND(V106="Pass",W106="Pass",AG106="Pass",AH106="Pass",AI106="Pass"),"Pass","Fail")</f>
        <v>#REF!</v>
      </c>
    </row>
    <row r="107" spans="14:37" x14ac:dyDescent="0.2">
      <c r="N107" s="217" t="s">
        <v>108</v>
      </c>
      <c r="O107" s="217"/>
      <c r="P107" s="270">
        <v>321.8</v>
      </c>
      <c r="Q107" s="303">
        <v>28.25</v>
      </c>
      <c r="R107" s="490">
        <f t="shared" si="41"/>
        <v>3243.64</v>
      </c>
      <c r="S107" s="469" t="e">
        <f t="shared" si="42"/>
        <v>#REF!</v>
      </c>
      <c r="T107" s="469" t="e">
        <f>$U$84 + IF($B$2="mil",1,0.0254)*DDR2Specs!$E$9</f>
        <v>#REF!</v>
      </c>
      <c r="U107" s="469" t="e">
        <f>$T$84 + IF($B$2="mil",1,0.0254)*DDR2Specs!$F$9</f>
        <v>#REF!</v>
      </c>
      <c r="V107" s="491" t="e">
        <f>IF($S107&lt;$T107,$T107-$S107,"Pass")</f>
        <v>#REF!</v>
      </c>
      <c r="W107" s="492" t="e">
        <f>IF($S107&gt;$U107,$S107-$U107,"Pass")</f>
        <v>#REF!</v>
      </c>
      <c r="AB107" s="510" t="s">
        <v>108</v>
      </c>
      <c r="AC107" s="504" t="e">
        <f>IF(P107&lt;=IF($B$2="mil",1,0.0254)*1000,"Pass",IF($B$2="mil",1,0.0254)*1000-P107)</f>
        <v>#REF!</v>
      </c>
      <c r="AF107" s="505" t="s">
        <v>108</v>
      </c>
      <c r="AG107" s="473" t="e">
        <f ca="1">CheckLength2(IF($B$2="mil",1,0.0254)*1200,P107,Q107,0)</f>
        <v>#NAME?</v>
      </c>
      <c r="AH107" s="473" t="e">
        <f>IF(AND(R107&gt;=IF($B$2="mil",1,0.0254)*500, $R107&lt;=IF($B$2="mil",1,0.0254)*6500),"Pass",IF($B$2="mil",1,0.0254)*6500-$R107)</f>
        <v>#REF!</v>
      </c>
      <c r="AI107" s="504" t="e">
        <f>IF(AND($S107&gt;=IF($B$2="mil",1,0.0254)*500, $S107&lt;=IF($B$2="mil",1,0.0254)*7000),"Pass",IF($B$2="mil",1,0.0254)*7000-$S107)</f>
        <v>#REF!</v>
      </c>
      <c r="AJ107" s="4" t="e">
        <f ca="1">IF(AND(V107="Pass",W107="Pass",AG107="Pass",AH107="Pass",AI107="Pass"),"Pass","Fail")</f>
        <v>#REF!</v>
      </c>
    </row>
    <row r="108" spans="14:37" x14ac:dyDescent="0.2">
      <c r="N108" s="289" t="s">
        <v>494</v>
      </c>
      <c r="O108" s="289"/>
      <c r="P108" s="123" t="e">
        <f>"Trace L7-2 ["&amp;$B$2&amp;"]"</f>
        <v>#REF!</v>
      </c>
      <c r="Q108" s="123" t="e">
        <f>"Trace L8-4 ["&amp;$B$2&amp;"]"</f>
        <v>#REF!</v>
      </c>
      <c r="R108" s="495" t="e">
        <f>"Total MB Length to U4 (L0+L1+L2+L5+L6-2+L7-2+L8-4) ["&amp;$B$2&amp;"]"</f>
        <v>#REF!</v>
      </c>
      <c r="S108" s="495" t="e">
        <f>"Total Pad to Pin U4 (P1+LL0+L1+L2+L5+L6-2+L7-2+L8-4) ["&amp;$B$2&amp;"]"</f>
        <v>#REF!</v>
      </c>
      <c r="T108" s="496" t="e">
        <f>"Target Min Length  to U4
["&amp;$B$2&amp;"]"</f>
        <v>#REF!</v>
      </c>
      <c r="U108" s="497" t="e">
        <f>"Target Max Length  to U4 
["&amp;$B$2&amp;"]"</f>
        <v>#REF!</v>
      </c>
      <c r="V108" s="498" t="e">
        <f>"Routed Too Short to U4 [" &amp;$B$2&amp;"]"</f>
        <v>#REF!</v>
      </c>
      <c r="W108" s="496" t="e">
        <f>"Routed Too Long to U4 [" &amp;$B$2&amp;"]"</f>
        <v>#REF!</v>
      </c>
      <c r="AD108" s="512" t="s">
        <v>494</v>
      </c>
      <c r="AE108" s="497" t="e">
        <f>"L7-2 Length Test (&lt;=" &amp; IF($B$2="mil",1,0.0254)*1000&amp;$B$2&amp;")"</f>
        <v>#REF!</v>
      </c>
      <c r="AG108" s="500" t="e">
        <f>"L8-4 Length Test (&lt;=" &amp; IF($B$2="mil",1,0.0254)*200&amp;$B$2&amp;") or (L7-2+L8-4&lt;= "&amp;IF($B$2="mil",1,0.0254)*1200&amp;$B$2&amp;")"</f>
        <v>#REF!</v>
      </c>
      <c r="AH108" s="497" t="e">
        <f>"Total Length to U4 (L0+L1+L2+L5+L6-2+L7-2+L8-4) Test
 ("&amp;IF($B$2="mil",1,0.0254)*500&amp;"-"&amp;IF($B$2="mil",1,0.0254)*6500&amp;IF($B$2="mil","mil","mm")&amp;")"</f>
        <v>#REF!</v>
      </c>
      <c r="AI108" s="497" t="e">
        <f>"Total Length to U4 (P1+L0+L1+L2+L5+L6-2+L7-2+L8-4) Test
 (&lt;="&amp;IF($B$2="mil",1,25.4)*7000&amp;IF($B$2="mil","mil","mm")&amp;")"</f>
        <v>#REF!</v>
      </c>
    </row>
    <row r="109" spans="14:37" x14ac:dyDescent="0.2">
      <c r="N109" s="134" t="s">
        <v>258</v>
      </c>
      <c r="O109" s="134"/>
      <c r="P109" s="135"/>
      <c r="Q109" s="135"/>
      <c r="R109" s="135"/>
      <c r="S109" s="135"/>
      <c r="T109" s="135"/>
      <c r="U109" s="135"/>
      <c r="V109" s="135"/>
      <c r="W109" s="135"/>
      <c r="AD109" s="134" t="s">
        <v>258</v>
      </c>
      <c r="AE109" s="137"/>
      <c r="AG109" s="135"/>
      <c r="AH109" s="135"/>
      <c r="AI109" s="137"/>
    </row>
    <row r="110" spans="14:37" x14ac:dyDescent="0.2">
      <c r="N110" s="235" t="s">
        <v>262</v>
      </c>
      <c r="O110" s="235"/>
      <c r="P110" s="143"/>
      <c r="Q110" s="143"/>
      <c r="R110" s="143"/>
      <c r="S110" s="502" t="s">
        <v>273</v>
      </c>
      <c r="T110" s="145" t="e">
        <f>MIN('DDR2 Clocks - 2L'!$S$7:$S$8)</f>
        <v>#REF!</v>
      </c>
      <c r="U110" s="486" t="e">
        <f>MAX('DDR2 Clocks - 2L'!$S$7:$S$8)</f>
        <v>#REF!</v>
      </c>
      <c r="V110" s="487"/>
      <c r="W110" s="145"/>
      <c r="AD110" s="141" t="s">
        <v>262</v>
      </c>
      <c r="AE110" s="484"/>
      <c r="AG110" s="483"/>
      <c r="AH110" s="483"/>
      <c r="AI110" s="484"/>
    </row>
    <row r="111" spans="14:37" x14ac:dyDescent="0.2">
      <c r="N111" s="180" t="s">
        <v>277</v>
      </c>
      <c r="O111" s="365"/>
      <c r="P111" s="157"/>
      <c r="Q111" s="157"/>
      <c r="R111" s="157"/>
      <c r="S111" s="157"/>
      <c r="T111" s="155"/>
      <c r="U111" s="476"/>
      <c r="V111" s="476"/>
      <c r="W111" s="155"/>
      <c r="AD111" s="134" t="s">
        <v>277</v>
      </c>
      <c r="AE111" s="244"/>
      <c r="AG111" s="155"/>
      <c r="AH111" s="155"/>
      <c r="AI111" s="244"/>
    </row>
    <row r="112" spans="14:37" x14ac:dyDescent="0.2">
      <c r="N112" s="162" t="s">
        <v>244</v>
      </c>
      <c r="O112" s="162"/>
      <c r="P112" s="270">
        <v>565.69000000000005</v>
      </c>
      <c r="Q112" s="270">
        <v>100.03</v>
      </c>
      <c r="R112" s="490">
        <f>SUM($E34:$G34,$M34,$P112,$P86,$Q112)</f>
        <v>4059.76</v>
      </c>
      <c r="S112" s="469" t="e">
        <f>$R112+IF($B$2="mil",1,0.0254)*$C34</f>
        <v>#REF!</v>
      </c>
      <c r="T112" s="469" t="e">
        <f>$U$110 + IF($B$2="mil",1,0.0254)*DDR2Specs!$E$9</f>
        <v>#REF!</v>
      </c>
      <c r="U112" s="469" t="e">
        <f>$T$110 + IF($B$2="mil",1,0.0254)*DDR2Specs!$F$9</f>
        <v>#REF!</v>
      </c>
      <c r="V112" s="491" t="e">
        <f t="shared" ref="V112:V125" si="47">IF($S112&lt;$T112,$T112-$S112,"Pass")</f>
        <v>#REF!</v>
      </c>
      <c r="W112" s="492" t="e">
        <f t="shared" ref="W112:W125" si="48">IF($S112&gt;$U112,$S112-$U112,"Pass")</f>
        <v>#REF!</v>
      </c>
      <c r="AD112" s="509" t="s">
        <v>244</v>
      </c>
      <c r="AE112" s="504" t="e">
        <f>IF(P112&lt;=IF($B$2="mil",1,0.0254)*1000,"Pass",IF($B$2="mil",1,0.0254)*1000-P112)</f>
        <v>#REF!</v>
      </c>
      <c r="AG112" s="473" t="e">
        <f t="shared" ref="AG112:AG133" ca="1" si="49">CheckLength2(IF($B$2="mil",1,0.0254)*1200,P112,Q112,0)</f>
        <v>#NAME?</v>
      </c>
      <c r="AH112" s="473" t="e">
        <f>IF(AND(R112&gt;=IF($B$2="mil",1,0.0254)*500, $R112&lt;=IF($B$2="mil",1,0.0254)*6500),"Pass",IF($B$2="mil",1,0.0254)*6500-$R112)</f>
        <v>#REF!</v>
      </c>
      <c r="AI112" s="504" t="e">
        <f>IF(AND($S112&gt;=IF($B$2="mil",1,0.0254)*500, $S112&lt;=IF($B$2="mil",1,0.0254)*7000),"Pass",IF($B$2="mil",1,0.0254)*7000-$S112)</f>
        <v>#REF!</v>
      </c>
      <c r="AJ112" s="4" t="e">
        <f t="shared" ref="AJ112:AJ125" ca="1" si="50">IF(AND(V112="Pass",W112="Pass",AG112="Pass",AH112="Pass",AE112="Pass",AI112="Pass"),"Pass","Fail")</f>
        <v>#REF!</v>
      </c>
      <c r="AK112" s="4" t="e">
        <f ca="1">IF(AND(AJ112="Pass",AJ113="Pass",AJ114="Pass",AJ115="Pass",AJ116="Pass",AJ117="Pass",AJ118="Pass",AJ119="Pass",AJ120="Pass",AJ121="Pass",AJ122="Pass"),"Pass","Fail")</f>
        <v>#REF!</v>
      </c>
    </row>
    <row r="113" spans="14:37" x14ac:dyDescent="0.2">
      <c r="N113" s="217" t="s">
        <v>87</v>
      </c>
      <c r="O113" s="217"/>
      <c r="P113" s="270">
        <v>587.88</v>
      </c>
      <c r="Q113" s="270">
        <v>85.04</v>
      </c>
      <c r="R113" s="490">
        <f t="shared" ref="R113:R133" si="51">SUM($E35:$G35,$M35,$P113,$P87,$Q113)</f>
        <v>3904.53</v>
      </c>
      <c r="S113" s="469" t="e">
        <f t="shared" ref="S113:S133" si="52">$R113+IF($B$2="mil",1,0.0254)*$C35</f>
        <v>#REF!</v>
      </c>
      <c r="T113" s="469" t="e">
        <f>$U$110 + IF($B$2="mil",1,0.0254)*DDR2Specs!$E$9</f>
        <v>#REF!</v>
      </c>
      <c r="U113" s="469" t="e">
        <f>$T$110 + IF($B$2="mil",1,0.0254)*DDR2Specs!$F$9</f>
        <v>#REF!</v>
      </c>
      <c r="V113" s="491" t="e">
        <f t="shared" si="47"/>
        <v>#REF!</v>
      </c>
      <c r="W113" s="492" t="e">
        <f t="shared" si="48"/>
        <v>#REF!</v>
      </c>
      <c r="AD113" s="510" t="s">
        <v>87</v>
      </c>
      <c r="AE113" s="504" t="e">
        <f t="shared" ref="AE113:AE125" si="53">IF(P113&lt;=IF($B$2="mil",1,0.0254)*1000,"Pass",IF($B$2="mil",1,0.0254)*1000-P113)</f>
        <v>#REF!</v>
      </c>
      <c r="AG113" s="473" t="e">
        <f t="shared" ca="1" si="49"/>
        <v>#NAME?</v>
      </c>
      <c r="AH113" s="473" t="e">
        <f t="shared" ref="AH113:AH125" si="54">IF(AND(R113&gt;=IF($B$2="mil",1,0.0254)*500, $R113&lt;=IF($B$2="mil",1,0.0254)*6500),"Pass",IF($B$2="mil",1,0.0254)*6500-$R113)</f>
        <v>#REF!</v>
      </c>
      <c r="AI113" s="504" t="e">
        <f t="shared" ref="AI113:AI125" si="55">IF(AND($S113&gt;=IF($B$2="mil",1,0.0254)*500, $S113&lt;=IF($B$2="mil",1,0.0254)*7000),"Pass",IF($B$2="mil",1,0.0254)*7000-$S113)</f>
        <v>#REF!</v>
      </c>
      <c r="AJ113" s="4" t="e">
        <f t="shared" ca="1" si="50"/>
        <v>#REF!</v>
      </c>
      <c r="AK113" s="4" t="e">
        <f ca="1">IF(AND(AJ123="Pass",AJ124="Pass",AJ125="Pass",AJ127="Pass",AJ128="Pass",AJ129="Pass",AJ131="Pass",AJ132="Pass",AJ133="Pass"),"Pass","Fail")</f>
        <v>#REF!</v>
      </c>
    </row>
    <row r="114" spans="14:37" x14ac:dyDescent="0.2">
      <c r="N114" s="217" t="s">
        <v>88</v>
      </c>
      <c r="O114" s="217"/>
      <c r="P114" s="270">
        <v>565.69000000000005</v>
      </c>
      <c r="Q114" s="270">
        <v>99.56</v>
      </c>
      <c r="R114" s="490">
        <f t="shared" si="51"/>
        <v>3802.1400000000003</v>
      </c>
      <c r="S114" s="469" t="e">
        <f t="shared" si="52"/>
        <v>#REF!</v>
      </c>
      <c r="T114" s="469" t="e">
        <f>$U$110 + IF($B$2="mil",1,0.0254)*DDR2Specs!$E$9</f>
        <v>#REF!</v>
      </c>
      <c r="U114" s="469" t="e">
        <f>$T$110 + IF($B$2="mil",1,0.0254)*DDR2Specs!$F$9</f>
        <v>#REF!</v>
      </c>
      <c r="V114" s="491" t="e">
        <f t="shared" si="47"/>
        <v>#REF!</v>
      </c>
      <c r="W114" s="492" t="e">
        <f t="shared" si="48"/>
        <v>#REF!</v>
      </c>
      <c r="AD114" s="510" t="s">
        <v>88</v>
      </c>
      <c r="AE114" s="504" t="e">
        <f t="shared" si="53"/>
        <v>#REF!</v>
      </c>
      <c r="AG114" s="473" t="e">
        <f t="shared" ca="1" si="49"/>
        <v>#NAME?</v>
      </c>
      <c r="AH114" s="473" t="e">
        <f t="shared" si="54"/>
        <v>#REF!</v>
      </c>
      <c r="AI114" s="504" t="e">
        <f t="shared" si="55"/>
        <v>#REF!</v>
      </c>
      <c r="AJ114" s="4" t="e">
        <f t="shared" ca="1" si="50"/>
        <v>#REF!</v>
      </c>
    </row>
    <row r="115" spans="14:37" x14ac:dyDescent="0.2">
      <c r="N115" s="217" t="s">
        <v>89</v>
      </c>
      <c r="O115" s="217"/>
      <c r="P115" s="270">
        <v>579.26</v>
      </c>
      <c r="Q115" s="270">
        <v>145.9</v>
      </c>
      <c r="R115" s="490">
        <f t="shared" si="51"/>
        <v>3913.97</v>
      </c>
      <c r="S115" s="469" t="e">
        <f t="shared" si="52"/>
        <v>#REF!</v>
      </c>
      <c r="T115" s="469" t="e">
        <f>$U$110 + IF($B$2="mil",1,0.0254)*DDR2Specs!$E$9</f>
        <v>#REF!</v>
      </c>
      <c r="U115" s="469" t="e">
        <f>$T$110 + IF($B$2="mil",1,0.0254)*DDR2Specs!$F$9</f>
        <v>#REF!</v>
      </c>
      <c r="V115" s="491" t="e">
        <f t="shared" si="47"/>
        <v>#REF!</v>
      </c>
      <c r="W115" s="492" t="e">
        <f t="shared" si="48"/>
        <v>#REF!</v>
      </c>
      <c r="AD115" s="510" t="s">
        <v>89</v>
      </c>
      <c r="AE115" s="504" t="e">
        <f t="shared" si="53"/>
        <v>#REF!</v>
      </c>
      <c r="AG115" s="473" t="e">
        <f t="shared" ca="1" si="49"/>
        <v>#NAME?</v>
      </c>
      <c r="AH115" s="473" t="e">
        <f t="shared" si="54"/>
        <v>#REF!</v>
      </c>
      <c r="AI115" s="504" t="e">
        <f t="shared" si="55"/>
        <v>#REF!</v>
      </c>
      <c r="AJ115" s="4" t="e">
        <f t="shared" ca="1" si="50"/>
        <v>#REF!</v>
      </c>
    </row>
    <row r="116" spans="14:37" x14ac:dyDescent="0.2">
      <c r="N116" s="217" t="s">
        <v>90</v>
      </c>
      <c r="O116" s="217"/>
      <c r="P116" s="270">
        <v>624.74</v>
      </c>
      <c r="Q116" s="270">
        <v>103.51</v>
      </c>
      <c r="R116" s="490">
        <f t="shared" si="51"/>
        <v>3797.26</v>
      </c>
      <c r="S116" s="469" t="e">
        <f t="shared" si="52"/>
        <v>#REF!</v>
      </c>
      <c r="T116" s="469" t="e">
        <f>$U$110 + IF($B$2="mil",1,0.0254)*DDR2Specs!$E$9</f>
        <v>#REF!</v>
      </c>
      <c r="U116" s="469" t="e">
        <f>$T$110 + IF($B$2="mil",1,0.0254)*DDR2Specs!$F$9</f>
        <v>#REF!</v>
      </c>
      <c r="V116" s="491" t="e">
        <f t="shared" si="47"/>
        <v>#REF!</v>
      </c>
      <c r="W116" s="492" t="e">
        <f t="shared" si="48"/>
        <v>#REF!</v>
      </c>
      <c r="AD116" s="510" t="s">
        <v>90</v>
      </c>
      <c r="AE116" s="504" t="e">
        <f t="shared" si="53"/>
        <v>#REF!</v>
      </c>
      <c r="AG116" s="473" t="e">
        <f t="shared" ca="1" si="49"/>
        <v>#NAME?</v>
      </c>
      <c r="AH116" s="473" t="e">
        <f t="shared" si="54"/>
        <v>#REF!</v>
      </c>
      <c r="AI116" s="504" t="e">
        <f t="shared" si="55"/>
        <v>#REF!</v>
      </c>
      <c r="AJ116" s="4" t="e">
        <f t="shared" ca="1" si="50"/>
        <v>#REF!</v>
      </c>
    </row>
    <row r="117" spans="14:37" x14ac:dyDescent="0.2">
      <c r="N117" s="217" t="s">
        <v>91</v>
      </c>
      <c r="O117" s="217"/>
      <c r="P117" s="270">
        <v>610.85</v>
      </c>
      <c r="Q117" s="270">
        <v>75.709999999999994</v>
      </c>
      <c r="R117" s="490">
        <f t="shared" si="51"/>
        <v>3927.6299999999997</v>
      </c>
      <c r="S117" s="469" t="e">
        <f t="shared" si="52"/>
        <v>#REF!</v>
      </c>
      <c r="T117" s="469" t="e">
        <f>$U$110 + IF($B$2="mil",1,0.0254)*DDR2Specs!$E$9</f>
        <v>#REF!</v>
      </c>
      <c r="U117" s="469" t="e">
        <f>$T$110 + IF($B$2="mil",1,0.0254)*DDR2Specs!$F$9</f>
        <v>#REF!</v>
      </c>
      <c r="V117" s="491" t="e">
        <f t="shared" si="47"/>
        <v>#REF!</v>
      </c>
      <c r="W117" s="492" t="e">
        <f t="shared" si="48"/>
        <v>#REF!</v>
      </c>
      <c r="AD117" s="510" t="s">
        <v>91</v>
      </c>
      <c r="AE117" s="504" t="e">
        <f t="shared" si="53"/>
        <v>#REF!</v>
      </c>
      <c r="AG117" s="473" t="e">
        <f t="shared" ca="1" si="49"/>
        <v>#NAME?</v>
      </c>
      <c r="AH117" s="473" t="e">
        <f t="shared" si="54"/>
        <v>#REF!</v>
      </c>
      <c r="AI117" s="504" t="e">
        <f t="shared" si="55"/>
        <v>#REF!</v>
      </c>
      <c r="AJ117" s="4" t="e">
        <f t="shared" ca="1" si="50"/>
        <v>#REF!</v>
      </c>
    </row>
    <row r="118" spans="14:37" x14ac:dyDescent="0.2">
      <c r="N118" s="217" t="s">
        <v>92</v>
      </c>
      <c r="O118" s="217"/>
      <c r="P118" s="270">
        <v>604.02</v>
      </c>
      <c r="Q118" s="270">
        <v>101.05</v>
      </c>
      <c r="R118" s="490">
        <f t="shared" si="51"/>
        <v>3971</v>
      </c>
      <c r="S118" s="469" t="e">
        <f t="shared" si="52"/>
        <v>#REF!</v>
      </c>
      <c r="T118" s="469" t="e">
        <f>$U$110 + IF($B$2="mil",1,0.0254)*DDR2Specs!$E$9</f>
        <v>#REF!</v>
      </c>
      <c r="U118" s="469" t="e">
        <f>$T$110 + IF($B$2="mil",1,0.0254)*DDR2Specs!$F$9</f>
        <v>#REF!</v>
      </c>
      <c r="V118" s="491" t="e">
        <f t="shared" si="47"/>
        <v>#REF!</v>
      </c>
      <c r="W118" s="492" t="e">
        <f t="shared" si="48"/>
        <v>#REF!</v>
      </c>
      <c r="AD118" s="510" t="s">
        <v>92</v>
      </c>
      <c r="AE118" s="504" t="e">
        <f t="shared" si="53"/>
        <v>#REF!</v>
      </c>
      <c r="AG118" s="473" t="e">
        <f t="shared" ca="1" si="49"/>
        <v>#NAME?</v>
      </c>
      <c r="AH118" s="473" t="e">
        <f t="shared" si="54"/>
        <v>#REF!</v>
      </c>
      <c r="AI118" s="504" t="e">
        <f t="shared" si="55"/>
        <v>#REF!</v>
      </c>
      <c r="AJ118" s="4" t="e">
        <f t="shared" ca="1" si="50"/>
        <v>#REF!</v>
      </c>
    </row>
    <row r="119" spans="14:37" x14ac:dyDescent="0.2">
      <c r="N119" s="217" t="s">
        <v>94</v>
      </c>
      <c r="O119" s="217"/>
      <c r="P119" s="270">
        <v>596.35</v>
      </c>
      <c r="Q119" s="270">
        <v>144.30000000000001</v>
      </c>
      <c r="R119" s="490">
        <f t="shared" si="51"/>
        <v>3898.6</v>
      </c>
      <c r="S119" s="469" t="e">
        <f t="shared" si="52"/>
        <v>#REF!</v>
      </c>
      <c r="T119" s="469" t="e">
        <f>$U$110 + IF($B$2="mil",1,0.0254)*DDR2Specs!$E$9</f>
        <v>#REF!</v>
      </c>
      <c r="U119" s="469" t="e">
        <f>$T$110 + IF($B$2="mil",1,0.0254)*DDR2Specs!$F$9</f>
        <v>#REF!</v>
      </c>
      <c r="V119" s="491" t="e">
        <f t="shared" si="47"/>
        <v>#REF!</v>
      </c>
      <c r="W119" s="492" t="e">
        <f t="shared" si="48"/>
        <v>#REF!</v>
      </c>
      <c r="AD119" s="510" t="s">
        <v>94</v>
      </c>
      <c r="AE119" s="504" t="e">
        <f t="shared" si="53"/>
        <v>#REF!</v>
      </c>
      <c r="AG119" s="473" t="e">
        <f t="shared" ca="1" si="49"/>
        <v>#NAME?</v>
      </c>
      <c r="AH119" s="473" t="e">
        <f t="shared" si="54"/>
        <v>#REF!</v>
      </c>
      <c r="AI119" s="504" t="e">
        <f t="shared" si="55"/>
        <v>#REF!</v>
      </c>
      <c r="AJ119" s="4" t="e">
        <f t="shared" ca="1" si="50"/>
        <v>#REF!</v>
      </c>
    </row>
    <row r="120" spans="14:37" x14ac:dyDescent="0.2">
      <c r="N120" s="217" t="s">
        <v>95</v>
      </c>
      <c r="O120" s="217"/>
      <c r="P120" s="270">
        <v>615.67999999999995</v>
      </c>
      <c r="Q120" s="270">
        <v>75.209999999999994</v>
      </c>
      <c r="R120" s="490">
        <f t="shared" si="51"/>
        <v>3901.5</v>
      </c>
      <c r="S120" s="469" t="e">
        <f t="shared" si="52"/>
        <v>#REF!</v>
      </c>
      <c r="T120" s="469" t="e">
        <f>$U$110 + IF($B$2="mil",1,0.0254)*DDR2Specs!$E$9</f>
        <v>#REF!</v>
      </c>
      <c r="U120" s="469" t="e">
        <f>$T$110 + IF($B$2="mil",1,0.0254)*DDR2Specs!$F$9</f>
        <v>#REF!</v>
      </c>
      <c r="V120" s="491" t="e">
        <f t="shared" si="47"/>
        <v>#REF!</v>
      </c>
      <c r="W120" s="492" t="e">
        <f t="shared" si="48"/>
        <v>#REF!</v>
      </c>
      <c r="AD120" s="510" t="s">
        <v>95</v>
      </c>
      <c r="AE120" s="504" t="e">
        <f t="shared" si="53"/>
        <v>#REF!</v>
      </c>
      <c r="AG120" s="473" t="e">
        <f t="shared" ca="1" si="49"/>
        <v>#NAME?</v>
      </c>
      <c r="AH120" s="473" t="e">
        <f t="shared" si="54"/>
        <v>#REF!</v>
      </c>
      <c r="AI120" s="504" t="e">
        <f t="shared" si="55"/>
        <v>#REF!</v>
      </c>
      <c r="AJ120" s="4" t="e">
        <f t="shared" ca="1" si="50"/>
        <v>#REF!</v>
      </c>
    </row>
    <row r="121" spans="14:37" x14ac:dyDescent="0.2">
      <c r="N121" s="217" t="s">
        <v>96</v>
      </c>
      <c r="O121" s="217"/>
      <c r="P121" s="270">
        <v>533.94000000000005</v>
      </c>
      <c r="Q121" s="270">
        <v>117.25</v>
      </c>
      <c r="R121" s="490">
        <f t="shared" si="51"/>
        <v>4113.8500000000004</v>
      </c>
      <c r="S121" s="469" t="e">
        <f t="shared" si="52"/>
        <v>#REF!</v>
      </c>
      <c r="T121" s="469" t="e">
        <f>$U$110 + IF($B$2="mil",1,0.0254)*DDR2Specs!$E$9</f>
        <v>#REF!</v>
      </c>
      <c r="U121" s="469" t="e">
        <f>$T$110 + IF($B$2="mil",1,0.0254)*DDR2Specs!$F$9</f>
        <v>#REF!</v>
      </c>
      <c r="V121" s="491" t="e">
        <f t="shared" si="47"/>
        <v>#REF!</v>
      </c>
      <c r="W121" s="492" t="e">
        <f t="shared" si="48"/>
        <v>#REF!</v>
      </c>
      <c r="AD121" s="510" t="s">
        <v>96</v>
      </c>
      <c r="AE121" s="504" t="e">
        <f t="shared" si="53"/>
        <v>#REF!</v>
      </c>
      <c r="AG121" s="473" t="e">
        <f t="shared" ca="1" si="49"/>
        <v>#NAME?</v>
      </c>
      <c r="AH121" s="473" t="e">
        <f t="shared" si="54"/>
        <v>#REF!</v>
      </c>
      <c r="AI121" s="504" t="e">
        <f t="shared" si="55"/>
        <v>#REF!</v>
      </c>
      <c r="AJ121" s="4" t="e">
        <f t="shared" ca="1" si="50"/>
        <v>#REF!</v>
      </c>
    </row>
    <row r="122" spans="14:37" x14ac:dyDescent="0.2">
      <c r="N122" s="217" t="s">
        <v>98</v>
      </c>
      <c r="O122" s="217"/>
      <c r="P122" s="270">
        <v>559.79</v>
      </c>
      <c r="Q122" s="270">
        <v>37.24</v>
      </c>
      <c r="R122" s="490">
        <f t="shared" si="51"/>
        <v>3905.8199999999997</v>
      </c>
      <c r="S122" s="469" t="e">
        <f t="shared" si="52"/>
        <v>#REF!</v>
      </c>
      <c r="T122" s="469" t="e">
        <f>$U$110 + IF($B$2="mil",1,0.0254)*DDR2Specs!$E$9</f>
        <v>#REF!</v>
      </c>
      <c r="U122" s="469" t="e">
        <f>$T$110 + IF($B$2="mil",1,0.0254)*DDR2Specs!$F$9</f>
        <v>#REF!</v>
      </c>
      <c r="V122" s="491" t="e">
        <f t="shared" si="47"/>
        <v>#REF!</v>
      </c>
      <c r="W122" s="492" t="e">
        <f t="shared" si="48"/>
        <v>#REF!</v>
      </c>
      <c r="AD122" s="510" t="s">
        <v>98</v>
      </c>
      <c r="AE122" s="504" t="e">
        <f t="shared" si="53"/>
        <v>#REF!</v>
      </c>
      <c r="AG122" s="473" t="e">
        <f t="shared" ca="1" si="49"/>
        <v>#NAME?</v>
      </c>
      <c r="AH122" s="473" t="e">
        <f t="shared" si="54"/>
        <v>#REF!</v>
      </c>
      <c r="AI122" s="504" t="e">
        <f t="shared" si="55"/>
        <v>#REF!</v>
      </c>
      <c r="AJ122" s="4" t="e">
        <f t="shared" ca="1" si="50"/>
        <v>#REF!</v>
      </c>
    </row>
    <row r="123" spans="14:37" x14ac:dyDescent="0.2">
      <c r="N123" s="217" t="s">
        <v>99</v>
      </c>
      <c r="O123" s="217"/>
      <c r="P123" s="270">
        <v>632.15</v>
      </c>
      <c r="Q123" s="270">
        <v>72.760000000000005</v>
      </c>
      <c r="R123" s="490">
        <f t="shared" si="51"/>
        <v>4041.1400000000003</v>
      </c>
      <c r="S123" s="469" t="e">
        <f t="shared" si="52"/>
        <v>#REF!</v>
      </c>
      <c r="T123" s="469" t="e">
        <f>$U$110 + IF($B$2="mil",1,0.0254)*DDR2Specs!$E$9</f>
        <v>#REF!</v>
      </c>
      <c r="U123" s="469" t="e">
        <f>$T$110 + IF($B$2="mil",1,0.0254)*DDR2Specs!$F$9</f>
        <v>#REF!</v>
      </c>
      <c r="V123" s="491" t="e">
        <f t="shared" si="47"/>
        <v>#REF!</v>
      </c>
      <c r="W123" s="492" t="e">
        <f t="shared" si="48"/>
        <v>#REF!</v>
      </c>
      <c r="AD123" s="510" t="s">
        <v>99</v>
      </c>
      <c r="AE123" s="504" t="e">
        <f t="shared" si="53"/>
        <v>#REF!</v>
      </c>
      <c r="AG123" s="473" t="e">
        <f t="shared" ca="1" si="49"/>
        <v>#NAME?</v>
      </c>
      <c r="AH123" s="473" t="e">
        <f t="shared" si="54"/>
        <v>#REF!</v>
      </c>
      <c r="AI123" s="504" t="e">
        <f t="shared" si="55"/>
        <v>#REF!</v>
      </c>
      <c r="AJ123" s="4" t="e">
        <f t="shared" ca="1" si="50"/>
        <v>#REF!</v>
      </c>
    </row>
    <row r="124" spans="14:37" x14ac:dyDescent="0.2">
      <c r="N124" s="217" t="s">
        <v>100</v>
      </c>
      <c r="O124" s="217"/>
      <c r="P124" s="270">
        <v>566.39</v>
      </c>
      <c r="Q124" s="270">
        <v>77.489999999999995</v>
      </c>
      <c r="R124" s="490">
        <f t="shared" si="51"/>
        <v>4078.1499999999996</v>
      </c>
      <c r="S124" s="469" t="e">
        <f t="shared" si="52"/>
        <v>#REF!</v>
      </c>
      <c r="T124" s="469" t="e">
        <f>$U$110 + IF($B$2="mil",1,0.0254)*DDR2Specs!$E$9</f>
        <v>#REF!</v>
      </c>
      <c r="U124" s="469" t="e">
        <f>$T$110 + IF($B$2="mil",1,0.0254)*DDR2Specs!$F$9</f>
        <v>#REF!</v>
      </c>
      <c r="V124" s="491" t="e">
        <f t="shared" si="47"/>
        <v>#REF!</v>
      </c>
      <c r="W124" s="492" t="e">
        <f t="shared" si="48"/>
        <v>#REF!</v>
      </c>
      <c r="AD124" s="510" t="s">
        <v>100</v>
      </c>
      <c r="AE124" s="504" t="e">
        <f t="shared" si="53"/>
        <v>#REF!</v>
      </c>
      <c r="AG124" s="473" t="e">
        <f t="shared" ca="1" si="49"/>
        <v>#NAME?</v>
      </c>
      <c r="AH124" s="473" t="e">
        <f t="shared" si="54"/>
        <v>#REF!</v>
      </c>
      <c r="AI124" s="504" t="e">
        <f t="shared" si="55"/>
        <v>#REF!</v>
      </c>
      <c r="AJ124" s="4" t="e">
        <f t="shared" ca="1" si="50"/>
        <v>#REF!</v>
      </c>
    </row>
    <row r="125" spans="14:37" x14ac:dyDescent="0.2">
      <c r="N125" s="217" t="s">
        <v>101</v>
      </c>
      <c r="O125" s="217"/>
      <c r="P125" s="270">
        <v>566.39</v>
      </c>
      <c r="Q125" s="270">
        <v>77.489999999999995</v>
      </c>
      <c r="R125" s="490">
        <f t="shared" si="51"/>
        <v>3958.1499999999996</v>
      </c>
      <c r="S125" s="469" t="e">
        <f t="shared" si="52"/>
        <v>#REF!</v>
      </c>
      <c r="T125" s="469" t="e">
        <f>$U$110 + IF($B$2="mil",1,0.0254)*DDR2Specs!$E$9</f>
        <v>#REF!</v>
      </c>
      <c r="U125" s="469" t="e">
        <f>$T$110 + IF($B$2="mil",1,0.0254)*DDR2Specs!$F$9</f>
        <v>#REF!</v>
      </c>
      <c r="V125" s="491" t="e">
        <f t="shared" si="47"/>
        <v>#REF!</v>
      </c>
      <c r="W125" s="492" t="e">
        <f t="shared" si="48"/>
        <v>#REF!</v>
      </c>
      <c r="AD125" s="510" t="s">
        <v>101</v>
      </c>
      <c r="AE125" s="504" t="e">
        <f t="shared" si="53"/>
        <v>#REF!</v>
      </c>
      <c r="AG125" s="473" t="e">
        <f t="shared" ca="1" si="49"/>
        <v>#NAME?</v>
      </c>
      <c r="AH125" s="473" t="e">
        <f t="shared" si="54"/>
        <v>#REF!</v>
      </c>
      <c r="AI125" s="504" t="e">
        <f t="shared" si="55"/>
        <v>#REF!</v>
      </c>
      <c r="AJ125" s="4" t="e">
        <f t="shared" ca="1" si="50"/>
        <v>#REF!</v>
      </c>
    </row>
    <row r="126" spans="14:37" x14ac:dyDescent="0.2">
      <c r="N126" s="180" t="s">
        <v>278</v>
      </c>
      <c r="O126" s="180"/>
      <c r="P126" s="298"/>
      <c r="Q126" s="298"/>
      <c r="R126" s="182"/>
      <c r="S126" s="182"/>
      <c r="T126" s="182"/>
      <c r="U126" s="182"/>
      <c r="V126" s="385"/>
      <c r="W126" s="385"/>
      <c r="AD126" s="134" t="s">
        <v>278</v>
      </c>
      <c r="AE126" s="244"/>
      <c r="AG126" s="155"/>
      <c r="AH126" s="155"/>
      <c r="AI126" s="506"/>
    </row>
    <row r="127" spans="14:37" x14ac:dyDescent="0.2">
      <c r="N127" s="162" t="s">
        <v>102</v>
      </c>
      <c r="O127" s="162"/>
      <c r="P127" s="270">
        <v>570.59</v>
      </c>
      <c r="Q127" s="297">
        <v>72.239999999999995</v>
      </c>
      <c r="R127" s="490">
        <f t="shared" si="51"/>
        <v>3963.45</v>
      </c>
      <c r="S127" s="469" t="e">
        <f t="shared" si="52"/>
        <v>#REF!</v>
      </c>
      <c r="T127" s="469" t="e">
        <f>$U$110 + IF($B$2="mil",1,0.0254)*DDR2Specs!$E$9</f>
        <v>#REF!</v>
      </c>
      <c r="U127" s="469" t="e">
        <f>$T$110 + IF($B$2="mil",1,0.0254)*DDR2Specs!$F$9</f>
        <v>#REF!</v>
      </c>
      <c r="V127" s="491" t="e">
        <f>IF($S127&lt;$T127,$T127-$S127,"Pass")</f>
        <v>#REF!</v>
      </c>
      <c r="W127" s="492" t="e">
        <f>IF($S127&gt;$U127,$S127-$U127,"Pass")</f>
        <v>#REF!</v>
      </c>
      <c r="AD127" s="509" t="s">
        <v>102</v>
      </c>
      <c r="AE127" s="504" t="e">
        <f>IF(P127&lt;=IF($B$2="mil",1,0.0254)*1000,"Pass",IF($B$2="mil",1,0.0254)*1000-P127)</f>
        <v>#REF!</v>
      </c>
      <c r="AG127" s="473" t="e">
        <f t="shared" ca="1" si="49"/>
        <v>#NAME?</v>
      </c>
      <c r="AH127" s="473" t="e">
        <f>IF(AND(R127&gt;=IF($B$2="mil",1,0.0254)*500, $R127&lt;=IF($B$2="mil",1,0.0254)*6500),"Pass",IF($B$2="mil",1,0.0254)*6500-$R127)</f>
        <v>#REF!</v>
      </c>
      <c r="AI127" s="504" t="e">
        <f>IF(AND($S127&gt;=IF($B$2="mil",1,0.0254)*500, $S127&lt;=IF($B$2="mil",1,0.0254)*7000),"Pass",IF($B$2="mil",1,0.0254)*7000-$S127)</f>
        <v>#REF!</v>
      </c>
      <c r="AJ127" s="4" t="e">
        <f ca="1">IF(AND(V127="Pass",W127="Pass",AG127="Pass",AH127="Pass",AE127="Pass",AI127="Pass"),"Pass","Fail")</f>
        <v>#REF!</v>
      </c>
    </row>
    <row r="128" spans="14:37" x14ac:dyDescent="0.2">
      <c r="N128" s="216" t="s">
        <v>103</v>
      </c>
      <c r="O128" s="216"/>
      <c r="P128" s="270">
        <v>585.74</v>
      </c>
      <c r="Q128" s="297">
        <v>51.87</v>
      </c>
      <c r="R128" s="490">
        <f t="shared" si="51"/>
        <v>4003.64</v>
      </c>
      <c r="S128" s="469" t="e">
        <f t="shared" si="52"/>
        <v>#REF!</v>
      </c>
      <c r="T128" s="469" t="e">
        <f>$U$110 + IF($B$2="mil",1,0.0254)*DDR2Specs!$E$9</f>
        <v>#REF!</v>
      </c>
      <c r="U128" s="469" t="e">
        <f>$T$110 + IF($B$2="mil",1,0.0254)*DDR2Specs!$F$9</f>
        <v>#REF!</v>
      </c>
      <c r="V128" s="491" t="e">
        <f>IF($S128&lt;$T128,$T128-$S128,"Pass")</f>
        <v>#REF!</v>
      </c>
      <c r="W128" s="492" t="e">
        <f>IF($S128&gt;$U128,$S128-$U128,"Pass")</f>
        <v>#REF!</v>
      </c>
      <c r="AD128" s="511" t="s">
        <v>103</v>
      </c>
      <c r="AE128" s="504" t="e">
        <f>IF(P128&lt;=IF($B$2="mil",1,0.0254)*1000,"Pass",IF($B$2="mil",1,0.0254)*1000-P128)</f>
        <v>#REF!</v>
      </c>
      <c r="AG128" s="473" t="e">
        <f t="shared" ca="1" si="49"/>
        <v>#NAME?</v>
      </c>
      <c r="AH128" s="473" t="e">
        <f>IF(AND(R128&gt;=IF($B$2="mil",1,0.0254)*500, $R128&lt;=IF($B$2="mil",1,0.0254)*6500),"Pass",IF($B$2="mil",1,0.0254)*6500-$R128)</f>
        <v>#REF!</v>
      </c>
      <c r="AI128" s="504" t="e">
        <f>IF(AND($S128&gt;=IF($B$2="mil",1,0.0254)*500, $S128&lt;=IF($B$2="mil",1,0.0254)*7000),"Pass",IF($B$2="mil",1,0.0254)*7000-$S128)</f>
        <v>#REF!</v>
      </c>
      <c r="AJ128" s="4" t="e">
        <f ca="1">IF(AND(V128="Pass",W128="Pass",AG128="Pass",AH128="Pass",AE128="Pass",AI128="Pass"),"Pass","Fail")</f>
        <v>#REF!</v>
      </c>
    </row>
    <row r="129" spans="14:36" x14ac:dyDescent="0.2">
      <c r="N129" s="216" t="s">
        <v>104</v>
      </c>
      <c r="O129" s="216"/>
      <c r="P129" s="270">
        <v>541.1</v>
      </c>
      <c r="Q129" s="297">
        <v>74.75</v>
      </c>
      <c r="R129" s="490">
        <f t="shared" si="51"/>
        <v>3825.3199999999997</v>
      </c>
      <c r="S129" s="469" t="e">
        <f t="shared" si="52"/>
        <v>#REF!</v>
      </c>
      <c r="T129" s="469" t="e">
        <f>$U$110 + IF($B$2="mil",1,0.0254)*DDR2Specs!$E$9</f>
        <v>#REF!</v>
      </c>
      <c r="U129" s="469" t="e">
        <f>$T$110 + IF($B$2="mil",1,0.0254)*DDR2Specs!$F$9</f>
        <v>#REF!</v>
      </c>
      <c r="V129" s="491" t="e">
        <f>IF($S129&lt;$T129,$T129-$S129,"Pass")</f>
        <v>#REF!</v>
      </c>
      <c r="W129" s="492" t="e">
        <f>IF($S129&gt;$U129,$S129-$U129,"Pass")</f>
        <v>#REF!</v>
      </c>
      <c r="AD129" s="511" t="s">
        <v>104</v>
      </c>
      <c r="AE129" s="504" t="e">
        <f>IF(P129&lt;=IF($B$2="mil",1,0.0254)*1000,"Pass",IF($B$2="mil",1,0.0254)*1000-P129)</f>
        <v>#REF!</v>
      </c>
      <c r="AG129" s="473" t="e">
        <f t="shared" ca="1" si="49"/>
        <v>#NAME?</v>
      </c>
      <c r="AH129" s="473" t="e">
        <f>IF(AND(R129&gt;=IF($B$2="mil",1,0.0254)*500, $R129&lt;=IF($B$2="mil",1,0.0254)*6500),"Pass",IF($B$2="mil",1,0.0254)*6500-$R129)</f>
        <v>#REF!</v>
      </c>
      <c r="AI129" s="504" t="e">
        <f>IF(AND($S129&gt;=IF($B$2="mil",1,0.0254)*500, $S129&lt;=IF($B$2="mil",1,0.0254)*7000),"Pass",IF($B$2="mil",1,0.0254)*7000-$S129)</f>
        <v>#REF!</v>
      </c>
      <c r="AJ129" s="4" t="e">
        <f ca="1">IF(AND(V129="Pass",W129="Pass",AG129="Pass",AH129="Pass",AE129="Pass",AI129="Pass"),"Pass","Fail")</f>
        <v>#REF!</v>
      </c>
    </row>
    <row r="130" spans="14:36" x14ac:dyDescent="0.2">
      <c r="N130" s="180" t="s">
        <v>279</v>
      </c>
      <c r="O130" s="180"/>
      <c r="P130" s="298"/>
      <c r="Q130" s="298"/>
      <c r="R130" s="182"/>
      <c r="S130" s="182"/>
      <c r="T130" s="182"/>
      <c r="U130" s="182"/>
      <c r="V130" s="385"/>
      <c r="W130" s="385"/>
      <c r="AD130" s="134" t="s">
        <v>279</v>
      </c>
      <c r="AE130" s="506"/>
      <c r="AG130" s="385"/>
      <c r="AH130" s="385"/>
      <c r="AI130" s="506"/>
    </row>
    <row r="131" spans="14:36" x14ac:dyDescent="0.2">
      <c r="N131" s="162" t="s">
        <v>106</v>
      </c>
      <c r="O131" s="162"/>
      <c r="P131" s="270">
        <v>564.66</v>
      </c>
      <c r="Q131" s="297">
        <v>28.02</v>
      </c>
      <c r="R131" s="490">
        <f t="shared" si="51"/>
        <v>3800.8099999999995</v>
      </c>
      <c r="S131" s="469" t="e">
        <f t="shared" si="52"/>
        <v>#REF!</v>
      </c>
      <c r="T131" s="469" t="e">
        <f>$U$110 + IF($B$2="mil",1,0.0254)*DDR2Specs!$E$9</f>
        <v>#REF!</v>
      </c>
      <c r="U131" s="469" t="e">
        <f>$T$110 + IF($B$2="mil",1,0.0254)*DDR2Specs!$F$9</f>
        <v>#REF!</v>
      </c>
      <c r="V131" s="491" t="e">
        <f>IF($S131&lt;$T131,$T131-$S131,"Pass")</f>
        <v>#REF!</v>
      </c>
      <c r="W131" s="492" t="e">
        <f>IF($S131&gt;$U131,$S131-$U131,"Pass")</f>
        <v>#REF!</v>
      </c>
      <c r="AD131" s="509" t="s">
        <v>106</v>
      </c>
      <c r="AE131" s="504" t="e">
        <f>IF(P131&lt;=IF($B$2="mil",1,0.0254)*1000,"Pass",IF($B$2="mil",1,0.0254)*1000-P131)</f>
        <v>#REF!</v>
      </c>
      <c r="AG131" s="473" t="e">
        <f t="shared" ca="1" si="49"/>
        <v>#NAME?</v>
      </c>
      <c r="AH131" s="473" t="e">
        <f>IF(AND(R131&gt;=IF($B$2="mil",1,0.0254)*500, $R131&lt;=IF($B$2="mil",1,0.0254)*6500),"Pass",IF($B$2="mil",1,0.0254)*6500-$R131)</f>
        <v>#REF!</v>
      </c>
      <c r="AI131" s="504" t="e">
        <f>IF(AND($S131&gt;=IF($B$2="mil",1,0.0254)*500, $S131&lt;=IF($B$2="mil",1,0.0254)*7000),"Pass",IF($B$2="mil",1,0.0254)*7000-$S131)</f>
        <v>#REF!</v>
      </c>
      <c r="AJ131" s="4" t="e">
        <f ca="1">IF(AND(V131="Pass",W131="Pass",AG131="Pass",AH131="Pass",AE131="Pass",AI131="Pass"),"Pass","Fail")</f>
        <v>#REF!</v>
      </c>
    </row>
    <row r="132" spans="14:36" x14ac:dyDescent="0.2">
      <c r="N132" s="217" t="s">
        <v>107</v>
      </c>
      <c r="O132" s="217"/>
      <c r="P132" s="270">
        <v>578.77</v>
      </c>
      <c r="Q132" s="297">
        <v>51.88</v>
      </c>
      <c r="R132" s="490">
        <f t="shared" si="51"/>
        <v>3834.7999999999997</v>
      </c>
      <c r="S132" s="469" t="e">
        <f t="shared" si="52"/>
        <v>#REF!</v>
      </c>
      <c r="T132" s="469" t="e">
        <f>$U$110 + IF($B$2="mil",1,0.0254)*DDR2Specs!$E$9</f>
        <v>#REF!</v>
      </c>
      <c r="U132" s="469" t="e">
        <f>$T$110 + IF($B$2="mil",1,0.0254)*DDR2Specs!$F$9</f>
        <v>#REF!</v>
      </c>
      <c r="V132" s="491" t="e">
        <f>IF($S132&lt;$T132,$T132-$S132,"Pass")</f>
        <v>#REF!</v>
      </c>
      <c r="W132" s="492" t="e">
        <f>IF($S132&gt;$U132,$S132-$U132,"Pass")</f>
        <v>#REF!</v>
      </c>
      <c r="AD132" s="510" t="s">
        <v>107</v>
      </c>
      <c r="AE132" s="504" t="e">
        <f>IF(P132&lt;=IF($B$2="mil",1,0.0254)*1000,"Pass",IF($B$2="mil",1,0.0254)*1000-P132)</f>
        <v>#REF!</v>
      </c>
      <c r="AG132" s="473" t="e">
        <f t="shared" ca="1" si="49"/>
        <v>#NAME?</v>
      </c>
      <c r="AH132" s="473" t="e">
        <f>IF(AND(R132&gt;=IF($B$2="mil",1,0.0254)*500, $R132&lt;=IF($B$2="mil",1,0.0254)*6500),"Pass",IF($B$2="mil",1,0.0254)*6500-$R132)</f>
        <v>#REF!</v>
      </c>
      <c r="AI132" s="504" t="e">
        <f>IF(AND($S132&gt;=IF($B$2="mil",1,0.0254)*500, $S132&lt;=IF($B$2="mil",1,0.0254)*7000),"Pass",IF($B$2="mil",1,0.0254)*7000-$S132)</f>
        <v>#REF!</v>
      </c>
      <c r="AJ132" s="4" t="e">
        <f ca="1">IF(AND(V132="Pass",W132="Pass",AG132="Pass",AH132="Pass",AE132="Pass",AI132="Pass"),"Pass","Fail")</f>
        <v>#REF!</v>
      </c>
    </row>
    <row r="133" spans="14:36" x14ac:dyDescent="0.2">
      <c r="N133" s="217" t="s">
        <v>108</v>
      </c>
      <c r="O133" s="217"/>
      <c r="P133" s="270">
        <v>574.72</v>
      </c>
      <c r="Q133" s="297">
        <v>30.98</v>
      </c>
      <c r="R133" s="490">
        <f t="shared" si="51"/>
        <v>3821.0899999999997</v>
      </c>
      <c r="S133" s="469" t="e">
        <f t="shared" si="52"/>
        <v>#REF!</v>
      </c>
      <c r="T133" s="469" t="e">
        <f>$U$110 + IF($B$2="mil",1,0.0254)*DDR2Specs!$E$9</f>
        <v>#REF!</v>
      </c>
      <c r="U133" s="469" t="e">
        <f>$T$110 + IF($B$2="mil",1,0.0254)*DDR2Specs!$F$9</f>
        <v>#REF!</v>
      </c>
      <c r="V133" s="491" t="e">
        <f>IF($S133&lt;$T133,$T133-$S133,"Pass")</f>
        <v>#REF!</v>
      </c>
      <c r="W133" s="492" t="e">
        <f>IF($S133&gt;$U133,$S133-$U133,"Pass")</f>
        <v>#REF!</v>
      </c>
      <c r="AD133" s="510" t="s">
        <v>108</v>
      </c>
      <c r="AE133" s="504" t="e">
        <f>IF(P133&lt;=IF($B$2="mil",1,0.0254)*1000,"Pass",IF($B$2="mil",1,0.0254)*1000-P133)</f>
        <v>#REF!</v>
      </c>
      <c r="AG133" s="473" t="e">
        <f t="shared" ca="1" si="49"/>
        <v>#NAME?</v>
      </c>
      <c r="AH133" s="473" t="e">
        <f>IF(AND(R133&gt;=IF($B$2="mil",1,0.0254)*500, $R133&lt;=IF($B$2="mil",1,0.0254)*6500),"Pass",IF($B$2="mil",1,0.0254)*6500-$R133)</f>
        <v>#REF!</v>
      </c>
      <c r="AI133" s="504" t="e">
        <f>IF(AND($S133&gt;=IF($B$2="mil",1,0.0254)*500, $S133&lt;=IF($B$2="mil",1,0.0254)*7000),"Pass",IF($B$2="mil",1,0.0254)*7000-$S133)</f>
        <v>#REF!</v>
      </c>
      <c r="AJ133" s="4" t="e">
        <f ca="1">IF(AND(V133="Pass",W133="Pass",AG133="Pass",AH133="Pass",AE133="Pass",AI133="Pass"),"Pass","Fail")</f>
        <v>#REF!</v>
      </c>
    </row>
  </sheetData>
  <protectedRanges>
    <protectedRange sqref="P131:Q133 P127:Q129 P112:Q125 P105:Q107 P101:Q103 P86:Q99 Q79:Q81 Q75:Q77 Q60:Q73 E22:K24 E7:K20 E53:Q55 E34:Q47 E49:Q51 E26:K28" name="DDR2_COMMAND_4L"/>
  </protectedRanges>
  <mergeCells count="2">
    <mergeCell ref="A1:E1"/>
    <mergeCell ref="F1:G1"/>
  </mergeCells>
  <phoneticPr fontId="4" type="noConversion"/>
  <conditionalFormatting sqref="A1 F1:Z1">
    <cfRule type="expression" dxfId="140" priority="5" stopIfTrue="1">
      <formula>$F$1 = "Fail"</formula>
    </cfRule>
    <cfRule type="expression" dxfId="139" priority="6" stopIfTrue="1">
      <formula>$F$1 = "Pass"</formula>
    </cfRule>
  </conditionalFormatting>
  <conditionalFormatting sqref="R7:S20 U7:AI20 R22:S24 U22:AI24 R26:S28 U26:AI28 V34:W47 Y34:AI47 V49:W51 Y49:AI51 V53:W55 Y53:AI55 V60:W73 AG60:AI73 V75:W77 AG75:AI77 AD77 V79:W81 AG79:AI81 V86:W99 AC86:AC99 AG86:AI99 V101:W103 AC101:AC103 AG101:AI103 V105:W107 AC105:AC107 AG105:AI107 V112:W125 AE112:AE125 AG112:AI125 V127:W129 AE127:AE129 AG127:AI129 V131:W133 AE131:AE133 AG131:AI133">
    <cfRule type="cellIs" priority="1" stopIfTrue="1" operator="equal">
      <formula>"Pass"</formula>
    </cfRule>
    <cfRule type="cellIs" dxfId="138" priority="2" stopIfTrue="1" operator="notEqual">
      <formula>"Pass"</formula>
    </cfRule>
  </conditionalFormatting>
  <conditionalFormatting sqref="T7:T20 T22:T24 T26:T28 X34:X47 X49:X51 X53:X55">
    <cfRule type="cellIs" dxfId="137" priority="3" stopIfTrue="1" operator="equal">
      <formula>"Pass"</formula>
    </cfRule>
    <cfRule type="cellIs" dxfId="136" priority="4" stopIfTrue="1" operator="notEqual">
      <formula>"Pass"</formula>
    </cfRule>
  </conditionalFormatting>
  <pageMargins left="0.75" right="0.75" top="1" bottom="1" header="0.5" footer="0.5"/>
  <pageSetup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Visio.Drawing.11" shapeId="20501" r:id="rId4">
          <objectPr defaultSize="0" autoPict="0" r:id="rId5">
            <anchor moveWithCells="1">
              <from>
                <xdr:col>0</xdr:col>
                <xdr:colOff>0</xdr:colOff>
                <xdr:row>58</xdr:row>
                <xdr:rowOff>0</xdr:rowOff>
              </from>
              <to>
                <xdr:col>10</xdr:col>
                <xdr:colOff>1247775</xdr:colOff>
                <xdr:row>66</xdr:row>
                <xdr:rowOff>142875</xdr:rowOff>
              </to>
            </anchor>
          </objectPr>
        </oleObject>
      </mc:Choice>
      <mc:Fallback>
        <oleObject progId="Visio.Drawing.11" shapeId="20501" r:id="rId4"/>
      </mc:Fallback>
    </mc:AlternateContent>
    <mc:AlternateContent xmlns:mc="http://schemas.openxmlformats.org/markup-compatibility/2006">
      <mc:Choice Requires="x14">
        <oleObject progId="Visio.Drawing.11" shapeId="20502" r:id="rId6">
          <objectPr defaultSize="0" autoPict="0" r:id="rId7">
            <anchor moveWithCells="1">
              <from>
                <xdr:col>0</xdr:col>
                <xdr:colOff>0</xdr:colOff>
                <xdr:row>72</xdr:row>
                <xdr:rowOff>0</xdr:rowOff>
              </from>
              <to>
                <xdr:col>10</xdr:col>
                <xdr:colOff>1257300</xdr:colOff>
                <xdr:row>93</xdr:row>
                <xdr:rowOff>38100</xdr:rowOff>
              </to>
            </anchor>
          </objectPr>
        </oleObject>
      </mc:Choice>
      <mc:Fallback>
        <oleObject progId="Visio.Drawing.11" shapeId="20502" r:id="rId6"/>
      </mc:Fallback>
    </mc:AlternateContent>
  </oleObject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9"/>
  <dimension ref="A1:AV133"/>
  <sheetViews>
    <sheetView topLeftCell="B1" zoomScale="75" workbookViewId="0">
      <selection activeCell="AS27" sqref="AS27"/>
    </sheetView>
  </sheetViews>
  <sheetFormatPr defaultRowHeight="12.75" x14ac:dyDescent="0.2"/>
  <cols>
    <col min="1" max="1" width="26" bestFit="1" customWidth="1"/>
    <col min="2" max="2" width="7.140625" bestFit="1" customWidth="1"/>
    <col min="3" max="3" width="8.7109375" bestFit="1" customWidth="1"/>
    <col min="4" max="4" width="1" customWidth="1"/>
    <col min="5" max="5" width="10" bestFit="1" customWidth="1"/>
    <col min="6" max="6" width="9.7109375" bestFit="1" customWidth="1"/>
    <col min="7" max="7" width="10" bestFit="1" customWidth="1"/>
    <col min="8" max="8" width="26.42578125" bestFit="1" customWidth="1"/>
    <col min="9" max="9" width="1" customWidth="1"/>
    <col min="10" max="10" width="13.85546875" bestFit="1" customWidth="1"/>
    <col min="11" max="11" width="10" bestFit="1" customWidth="1"/>
    <col min="12" max="12" width="1" customWidth="1"/>
    <col min="13" max="13" width="17.140625" bestFit="1" customWidth="1"/>
    <col min="14" max="14" width="23" bestFit="1" customWidth="1"/>
    <col min="15" max="15" width="1" customWidth="1"/>
    <col min="16" max="16" width="18.42578125" bestFit="1" customWidth="1"/>
    <col min="17" max="17" width="13.7109375" customWidth="1"/>
    <col min="18" max="19" width="25.140625" customWidth="1"/>
    <col min="20" max="20" width="14.5703125" bestFit="1" customWidth="1"/>
    <col min="21" max="21" width="16.28515625" bestFit="1" customWidth="1"/>
    <col min="22" max="22" width="22.85546875" style="1" customWidth="1"/>
    <col min="23" max="23" width="28.28515625" customWidth="1"/>
    <col min="24" max="24" width="17.140625" customWidth="1"/>
    <col min="25" max="25" width="14.5703125" bestFit="1" customWidth="1"/>
    <col min="26" max="26" width="16.140625" bestFit="1" customWidth="1"/>
    <col min="27" max="27" width="12" bestFit="1" customWidth="1"/>
    <col min="28" max="28" width="21.5703125" customWidth="1"/>
    <col min="29" max="29" width="23.7109375" customWidth="1"/>
    <col min="30" max="30" width="17.85546875" bestFit="1" customWidth="1"/>
    <col min="31" max="31" width="13.28515625" bestFit="1" customWidth="1"/>
    <col min="32" max="32" width="12.140625" bestFit="1" customWidth="1"/>
    <col min="33" max="33" width="25.140625" bestFit="1" customWidth="1"/>
    <col min="34" max="34" width="15.140625" bestFit="1" customWidth="1"/>
    <col min="35" max="35" width="25.140625" bestFit="1" customWidth="1"/>
    <col min="36" max="36" width="14.5703125" bestFit="1" customWidth="1"/>
    <col min="37" max="37" width="25.140625" bestFit="1" customWidth="1"/>
    <col min="38" max="38" width="15.7109375" bestFit="1" customWidth="1"/>
    <col min="39" max="39" width="16.140625" bestFit="1" customWidth="1"/>
    <col min="40" max="40" width="22.140625" customWidth="1"/>
    <col min="41" max="41" width="19.28515625" customWidth="1"/>
    <col min="42" max="42" width="18.28515625" customWidth="1"/>
    <col min="43" max="43" width="17.85546875" customWidth="1"/>
    <col min="44" max="44" width="18.28515625" customWidth="1"/>
    <col min="45" max="45" width="18.42578125" hidden="1" customWidth="1"/>
    <col min="46" max="46" width="16.28515625" hidden="1" customWidth="1"/>
    <col min="47" max="47" width="23.28515625" hidden="1" customWidth="1"/>
    <col min="48" max="48" width="17.7109375" hidden="1" customWidth="1"/>
  </cols>
  <sheetData>
    <row r="1" spans="1:47" s="2" customFormat="1" ht="26.25" x14ac:dyDescent="0.2">
      <c r="A1" s="998" t="s">
        <v>276</v>
      </c>
      <c r="B1" s="999"/>
      <c r="C1" s="999"/>
      <c r="D1" s="999"/>
      <c r="E1" s="999"/>
      <c r="F1" s="1000" t="e">
        <f ca="1">IF(AND(AU7="Pass",AU8="Pass",AU34="Pass",AU35="Pass",AU60="Pass",AU61="Pass",AU86="Pass",AU87="Pass",AU112="Pass",AU113="Pass"),"Pass","Fail")</f>
        <v>#REF!</v>
      </c>
      <c r="G1" s="1000"/>
      <c r="H1" s="412"/>
      <c r="I1" s="412"/>
      <c r="J1" s="412"/>
      <c r="K1" s="412"/>
      <c r="L1" s="412"/>
      <c r="M1" s="412"/>
      <c r="N1" s="412"/>
      <c r="O1" s="412"/>
      <c r="P1" s="412"/>
      <c r="Q1" s="412"/>
      <c r="R1" s="412"/>
      <c r="S1" s="412"/>
      <c r="T1" s="412"/>
      <c r="U1" s="412"/>
      <c r="V1" s="425"/>
      <c r="W1" s="412"/>
      <c r="X1" s="412"/>
      <c r="Y1" s="412"/>
      <c r="Z1" s="413"/>
    </row>
    <row r="2" spans="1:47" s="82" customFormat="1" x14ac:dyDescent="0.2">
      <c r="A2" s="414" t="s">
        <v>58</v>
      </c>
      <c r="B2" s="268" t="e">
        <f>'DDR2 Clocks - 4L'!B2</f>
        <v>#REF!</v>
      </c>
      <c r="C2" s="83"/>
      <c r="D2" s="83"/>
      <c r="E2" s="83"/>
      <c r="F2" s="122"/>
      <c r="G2" s="122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384"/>
      <c r="W2" s="84"/>
      <c r="X2" s="84"/>
      <c r="Y2" s="84"/>
      <c r="Z2" s="237"/>
    </row>
    <row r="3" spans="1:47" s="133" customFormat="1" ht="22.5" x14ac:dyDescent="0.2">
      <c r="A3" s="123" t="s">
        <v>494</v>
      </c>
      <c r="B3" s="123" t="s">
        <v>457</v>
      </c>
      <c r="C3" s="124" t="s">
        <v>70</v>
      </c>
      <c r="D3" s="125"/>
      <c r="E3" s="126" t="e">
        <f>"Escape
Length L0
 ["&amp;$B$2&amp;"]"</f>
        <v>#REF!</v>
      </c>
      <c r="F3" s="126" t="e">
        <f>"Breakout
Length L1
["&amp; $B$2&amp;"]"</f>
        <v>#REF!</v>
      </c>
      <c r="G3" s="126" t="e">
        <f>"Main
Length L2
[" &amp;$B$2&amp; " ]"</f>
        <v>#REF!</v>
      </c>
      <c r="H3" s="126" t="e">
        <f>"Breakin
Length S1  
[" &amp;$B$2&amp;"]"</f>
        <v>#REF!</v>
      </c>
      <c r="I3" s="129"/>
      <c r="J3" s="130" t="e">
        <f>"Via-to-via (SODIMM-to-Rt) L3 [" &amp;$B$2&amp;"]"</f>
        <v>#REF!</v>
      </c>
      <c r="K3" s="130" t="e">
        <f>"Via-to-Rt 
L4 [" &amp;$B$2&amp;"]"</f>
        <v>#REF!</v>
      </c>
      <c r="L3" s="129"/>
      <c r="M3" s="128" t="e">
        <f>"Total MB Length
(L0+L1+L2+S1)
[" &amp;$B$2&amp;"]"</f>
        <v>#REF!</v>
      </c>
      <c r="N3" s="129" t="e">
        <f>"Total Pad-to-Pin Length (P1+L0+L1+L2+S1)
[" &amp;$B$2&amp;"]"</f>
        <v>#REF!</v>
      </c>
      <c r="O3" s="130"/>
      <c r="P3" s="130" t="e">
        <f>"Target Min Length 
["&amp;$B$2&amp;"]"</f>
        <v>#REF!</v>
      </c>
      <c r="Q3" s="129" t="e">
        <f>"Target Max Length 
["&amp;$B$2&amp;"]"</f>
        <v>#REF!</v>
      </c>
      <c r="R3" s="131" t="e">
        <f>"Routed Too Short [" &amp;$B$2&amp;"]"</f>
        <v>#REF!</v>
      </c>
      <c r="S3" s="130" t="e">
        <f>"Routed Too Long [" &amp;$B$2&amp;"]"</f>
        <v>#REF!</v>
      </c>
      <c r="T3" s="132" t="e">
        <f>"L0 Length Test (&lt;=" &amp; IF($B$2="mil",1,0.0254)*50&amp;$B$2&amp;")"</f>
        <v>#REF!</v>
      </c>
      <c r="U3" s="132" t="e">
        <f>"L1 Length Test (&lt;=" &amp; IF($B$2="mil",1,0.0254)*500&amp;$B$2&amp;")"</f>
        <v>#REF!</v>
      </c>
      <c r="V3" s="132" t="e">
        <f>"S1 Length test (&lt;=" &amp; IF($B$2="mil",1,0.0254)*200 &amp;$B$2&amp;")"</f>
        <v>#REF!</v>
      </c>
      <c r="W3" s="129" t="e">
        <f>"Total Length    (L0+L1+L2+S1) Test
 ("&amp;IF($B$2="mil",1,0.0254)*500&amp;"-"&amp;IF($B$2="mil",1,0.0254)*4500&amp;IF($B$2="mil","mil","mm")&amp;")"</f>
        <v>#REF!</v>
      </c>
      <c r="X3" s="129" t="e">
        <f>"Total Length    (P1+L0+L1+L2+S1) Test
 (&lt;="&amp;IF($B$2="mil",1,25.4)*5000&amp;IF($B$2="mil","mil","mm")&amp;")"</f>
        <v>#REF!</v>
      </c>
      <c r="Y3" s="129" t="e">
        <f>"L3 Length Test (&lt;="&amp;IF($B$2="mil",1,0.0254)*1300&amp;$B$2&amp; ")"</f>
        <v>#REF!</v>
      </c>
      <c r="Z3" s="129" t="e">
        <f>"L4 Length Test (&lt;=" &amp; IF($B$2="mil",1,0.0254)*200&amp;$B$2&amp;") or (L3+L4&lt;= "&amp;IF($B$2="mil",1,0.0254)*1500&amp;$B$2&amp;")"</f>
        <v>#REF!</v>
      </c>
    </row>
    <row r="4" spans="1:47" s="4" customFormat="1" ht="11.25" x14ac:dyDescent="0.2">
      <c r="A4" s="415" t="s">
        <v>259</v>
      </c>
      <c r="B4" s="134"/>
      <c r="C4" s="134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6"/>
      <c r="O4" s="135"/>
      <c r="P4" s="135"/>
      <c r="Q4" s="135"/>
      <c r="R4" s="135"/>
      <c r="S4" s="135"/>
      <c r="T4" s="135"/>
      <c r="U4" s="135"/>
      <c r="V4" s="385"/>
      <c r="W4" s="135"/>
      <c r="X4" s="135"/>
      <c r="Y4" s="137"/>
      <c r="Z4" s="243"/>
      <c r="AA4" s="138"/>
      <c r="AB4" s="139"/>
      <c r="AC4" s="139"/>
    </row>
    <row r="5" spans="1:47" s="4" customFormat="1" ht="11.25" x14ac:dyDescent="0.2">
      <c r="A5" s="319" t="s">
        <v>263</v>
      </c>
      <c r="B5" s="141"/>
      <c r="C5" s="141"/>
      <c r="D5" s="142"/>
      <c r="E5" s="143"/>
      <c r="F5" s="143"/>
      <c r="G5" s="143"/>
      <c r="H5" s="143"/>
      <c r="I5" s="144"/>
      <c r="J5" s="144"/>
      <c r="K5" s="143"/>
      <c r="L5" s="144"/>
      <c r="M5" s="143"/>
      <c r="N5" s="145"/>
      <c r="O5" s="142"/>
      <c r="P5" s="481" t="e">
        <f>MIN('DDR2 Clocks - 4L'!$O$22:$O$25)</f>
        <v>#REF!</v>
      </c>
      <c r="Q5" s="481" t="e">
        <f>MAX('DDR2 Clocks - 4L'!$O$22:$O$25)</f>
        <v>#REF!</v>
      </c>
      <c r="R5" s="145"/>
      <c r="S5" s="145"/>
      <c r="T5" s="145"/>
      <c r="U5" s="482"/>
      <c r="V5" s="483"/>
      <c r="W5" s="483"/>
      <c r="X5" s="483"/>
      <c r="Y5" s="484"/>
      <c r="Z5" s="484"/>
      <c r="AB5" s="21"/>
      <c r="AC5" s="21"/>
    </row>
    <row r="6" spans="1:47" s="4" customFormat="1" ht="11.25" x14ac:dyDescent="0.2">
      <c r="A6" s="415" t="s">
        <v>286</v>
      </c>
      <c r="B6" s="134"/>
      <c r="C6" s="134"/>
      <c r="D6" s="155"/>
      <c r="E6" s="156"/>
      <c r="F6" s="156"/>
      <c r="G6" s="156"/>
      <c r="H6" s="156"/>
      <c r="I6" s="156"/>
      <c r="J6" s="157"/>
      <c r="K6" s="157"/>
      <c r="L6" s="156"/>
      <c r="M6" s="156"/>
      <c r="N6" s="156"/>
      <c r="O6" s="155"/>
      <c r="P6" s="155"/>
      <c r="Q6" s="476"/>
      <c r="R6" s="155"/>
      <c r="S6" s="155"/>
      <c r="T6" s="155"/>
      <c r="U6" s="155"/>
      <c r="V6" s="385"/>
      <c r="W6" s="155"/>
      <c r="X6" s="155"/>
      <c r="Y6" s="155"/>
      <c r="Z6" s="478"/>
    </row>
    <row r="7" spans="1:47" s="4" customFormat="1" x14ac:dyDescent="0.2">
      <c r="A7" s="161" t="s">
        <v>109</v>
      </c>
      <c r="B7" s="432" t="s">
        <v>467</v>
      </c>
      <c r="C7" s="562">
        <v>378.93700787401576</v>
      </c>
      <c r="D7" s="200"/>
      <c r="E7">
        <v>22.63</v>
      </c>
      <c r="F7">
        <v>0</v>
      </c>
      <c r="G7">
        <v>1066.6300000000001</v>
      </c>
      <c r="H7">
        <v>134.49</v>
      </c>
      <c r="I7" s="179"/>
      <c r="J7" s="276">
        <v>0</v>
      </c>
      <c r="K7">
        <v>32.5</v>
      </c>
      <c r="L7" s="168"/>
      <c r="M7" s="467">
        <f t="shared" ref="M7:M20" si="0" xml:space="preserve"> E7+F7+G7+H7</f>
        <v>1223.7500000000002</v>
      </c>
      <c r="N7" s="467" t="e">
        <f t="shared" ref="N7:N20" si="1">IF($B$2="mil",1,0.0254)*C7+ M7</f>
        <v>#REF!</v>
      </c>
      <c r="O7" s="468"/>
      <c r="P7" s="469" t="e">
        <f>MAX($P$5:$Q$5)+IF($B$2="mil",1,0.0254)*DDR2Specs!$B$9</f>
        <v>#REF!</v>
      </c>
      <c r="Q7" s="469" t="e">
        <f>MIN($P$5:$Q$5)+IF($B$2="mil",1,0.0254)*DDR2Specs!$C$9</f>
        <v>#REF!</v>
      </c>
      <c r="R7" s="470" t="e">
        <f t="shared" ref="R7:R20" si="2">IF($N7&lt;$P7,$P7-$N7,"Pass")</f>
        <v>#REF!</v>
      </c>
      <c r="S7" s="471" t="e">
        <f t="shared" ref="S7:S20" si="3">IF($N7&gt;$Q7,$N7-$Q7,"Pass")</f>
        <v>#REF!</v>
      </c>
      <c r="T7" s="472" t="e">
        <f>IF($E7&lt;=IF($B$2="mil",1,0.0254)*50,"Pass",IF($B$2="mil",1,0.0254)*50-$E7)</f>
        <v>#REF!</v>
      </c>
      <c r="U7" s="473" t="e">
        <f t="shared" ref="U7:U20" si="4">IF($F7&lt;=IF($B$2="mil",1,0.0254)*500,"Pass",IF($B$2="mil",1,0.0254)*500-$F7)</f>
        <v>#REF!</v>
      </c>
      <c r="V7" s="473" t="e">
        <f>IF($H7&lt;=IF($B$2="mil",1,0.0254)*200,"Pass",IF($B$2="mil",1,0.0254)*200-$H7)</f>
        <v>#REF!</v>
      </c>
      <c r="W7" s="473" t="e">
        <f t="shared" ref="W7:W20" si="5">IF(AND($M7&gt;=IF($B$2="mil",1,0.0254)*500, $M7&lt;=IF($B$2="mil",1,0.0254)*4500),"Pass",IF($B$2="mil",1,0.0254)*4500-$M7)</f>
        <v>#REF!</v>
      </c>
      <c r="X7" s="473" t="e">
        <f>IF(AND($N7&gt;=IF($B$2="mil",1,0.0254)*500, $N7&lt;=IF($B$2="mil",1,0.0254)*5000),"Pass",IF($B$2="mil",1,0.0254)*5000-$N7)</f>
        <v>#REF!</v>
      </c>
      <c r="Y7" s="473" t="e">
        <f>IF((J7&lt;=IF($B$2="mil",1,0.0254)*1300),"Pass",IF($B$2="mil",1,0.0254)*1300-J7)</f>
        <v>#REF!</v>
      </c>
      <c r="Z7" s="474" t="e">
        <f ca="1">CheckLength2(IF($B$2="mil",1,0.0254)*1500,J7,K7,0)</f>
        <v>#NAME?</v>
      </c>
      <c r="AA7" s="380"/>
      <c r="AB7" s="380"/>
      <c r="AC7" s="350"/>
      <c r="AD7" s="350"/>
      <c r="AE7" s="350"/>
      <c r="AF7" s="350"/>
      <c r="AG7" s="350"/>
      <c r="AH7" s="350"/>
      <c r="AI7" s="350"/>
      <c r="AJ7" s="350"/>
      <c r="AK7" s="350"/>
      <c r="AL7" s="350"/>
      <c r="AM7" s="350"/>
      <c r="AN7" s="350"/>
      <c r="AO7" s="350"/>
      <c r="AP7" s="350"/>
      <c r="AQ7" s="350"/>
      <c r="AR7" s="350"/>
      <c r="AS7" s="350"/>
      <c r="AT7" s="4" t="e">
        <f t="shared" ref="AT7:AT20" ca="1" si="6">IF(AND(R7="Pass",S7="Pass",T7="Pass",U7="Pass",V7="Pass",W7="Pass",X7="Pass",Y7="Pass",Z7="Pass"),"Pass","Fail")</f>
        <v>#REF!</v>
      </c>
      <c r="AU7" s="4" t="e">
        <f ca="1">IF(AND(AT7="Pass",AT8="Pass",AT9="Pass",AT10="Pass",AT11="Pass",AT12="Pass",AT13="Pass",AT14="Pass",AT15="Pass"),"Pass","Fail")</f>
        <v>#REF!</v>
      </c>
    </row>
    <row r="8" spans="1:47" s="4" customFormat="1" x14ac:dyDescent="0.2">
      <c r="A8" s="161" t="s">
        <v>110</v>
      </c>
      <c r="B8" s="433" t="s">
        <v>105</v>
      </c>
      <c r="C8" s="562">
        <v>526.1811023622048</v>
      </c>
      <c r="D8" s="201"/>
      <c r="E8">
        <v>22.63</v>
      </c>
      <c r="F8">
        <v>0</v>
      </c>
      <c r="G8">
        <v>1337.86</v>
      </c>
      <c r="H8">
        <v>67.62</v>
      </c>
      <c r="I8" s="179"/>
      <c r="J8" s="276">
        <v>0</v>
      </c>
      <c r="K8">
        <v>99.71</v>
      </c>
      <c r="L8" s="168"/>
      <c r="M8" s="467">
        <f t="shared" si="0"/>
        <v>1428.1100000000001</v>
      </c>
      <c r="N8" s="467" t="e">
        <f t="shared" si="1"/>
        <v>#REF!</v>
      </c>
      <c r="O8" s="475"/>
      <c r="P8" s="469" t="e">
        <f>MAX($P$5:$Q$5)+IF($B$2="mil",1,0.0254)*DDR2Specs!$B$9</f>
        <v>#REF!</v>
      </c>
      <c r="Q8" s="469" t="e">
        <f>MIN($P$5:$Q$5)+IF($B$2="mil",1,0.0254)*DDR2Specs!$C$9</f>
        <v>#REF!</v>
      </c>
      <c r="R8" s="470" t="e">
        <f t="shared" si="2"/>
        <v>#REF!</v>
      </c>
      <c r="S8" s="471" t="e">
        <f t="shared" si="3"/>
        <v>#REF!</v>
      </c>
      <c r="T8" s="472" t="e">
        <f t="shared" ref="T8:T20" si="7">IF($E8&lt;=IF($B$2="mil",1,0.0254)*50,"Pass",IF($B$2="mil",1,0.0254)*50-$E8)</f>
        <v>#REF!</v>
      </c>
      <c r="U8" s="473" t="e">
        <f t="shared" si="4"/>
        <v>#REF!</v>
      </c>
      <c r="V8" s="473" t="e">
        <f>IF($H8&lt;=IF($B$2="mil",1,0.0254)*200,"Pass",IF($B$2="mil",1,0.0254)*200-$H8)</f>
        <v>#REF!</v>
      </c>
      <c r="W8" s="473" t="e">
        <f t="shared" si="5"/>
        <v>#REF!</v>
      </c>
      <c r="X8" s="473" t="e">
        <f t="shared" ref="X8:X20" si="8">IF(AND($N8&gt;=IF($B$2="mil",1,0.0254)*500, $N8&lt;=IF($B$2="mil",1,0.0254)*5000),"Pass",IF($B$2="mil",1,0.0254)*5000-$N8)</f>
        <v>#REF!</v>
      </c>
      <c r="Y8" s="473" t="e">
        <f t="shared" ref="Y8:Y28" si="9">IF((J8&lt;=IF($B$2="mil",1,0.0254)*1300),"Pass",IF($B$2="mil",1,0.0254)*1300-J8)</f>
        <v>#REF!</v>
      </c>
      <c r="Z8" s="474" t="e">
        <f t="shared" ref="Z8:Z19" ca="1" si="10">CheckLength2(IF($B$2="mil",1,0.0254)*1500,J8,K8,0)</f>
        <v>#NAME?</v>
      </c>
      <c r="AA8" s="380"/>
      <c r="AB8" s="380"/>
      <c r="AC8" s="350"/>
      <c r="AD8" s="350"/>
      <c r="AE8" s="350"/>
      <c r="AF8" s="350"/>
      <c r="AG8" s="350"/>
      <c r="AH8" s="350"/>
      <c r="AI8" s="350"/>
      <c r="AJ8" s="350"/>
      <c r="AK8" s="350"/>
      <c r="AL8" s="350"/>
      <c r="AM8" s="350"/>
      <c r="AN8" s="350"/>
      <c r="AO8" s="350"/>
      <c r="AP8" s="350"/>
      <c r="AQ8" s="350"/>
      <c r="AR8" s="350"/>
      <c r="AS8" s="350"/>
      <c r="AT8" s="4" t="e">
        <f t="shared" ca="1" si="6"/>
        <v>#REF!</v>
      </c>
      <c r="AU8" s="4" t="e">
        <f ca="1">IF(AND(AT16="Pass",AT17="Pass",AT18="Pass",AT19="Pass",AT20="Pass",AT22="Pass",AT23="Pass",AT24="Pass",AT26="Pass",AT27="Pass",AT28="Pass"),"Pass","Fail")</f>
        <v>#REF!</v>
      </c>
    </row>
    <row r="9" spans="1:47" s="4" customFormat="1" x14ac:dyDescent="0.2">
      <c r="A9" s="161" t="s">
        <v>111</v>
      </c>
      <c r="B9" s="433" t="s">
        <v>468</v>
      </c>
      <c r="C9" s="562">
        <v>448.14960629921256</v>
      </c>
      <c r="D9" s="211"/>
      <c r="E9">
        <v>22.63</v>
      </c>
      <c r="F9">
        <v>0</v>
      </c>
      <c r="G9">
        <v>1069.25</v>
      </c>
      <c r="H9">
        <v>80.290000000000006</v>
      </c>
      <c r="I9" s="212"/>
      <c r="J9" s="276">
        <v>0</v>
      </c>
      <c r="K9">
        <v>94.07</v>
      </c>
      <c r="L9" s="213"/>
      <c r="M9" s="467">
        <f t="shared" si="0"/>
        <v>1172.17</v>
      </c>
      <c r="N9" s="467" t="e">
        <f t="shared" si="1"/>
        <v>#REF!</v>
      </c>
      <c r="O9" s="213"/>
      <c r="P9" s="469" t="e">
        <f>MAX($P$5:$Q$5)+IF($B$2="mil",1,0.0254)*DDR2Specs!$B$9</f>
        <v>#REF!</v>
      </c>
      <c r="Q9" s="469" t="e">
        <f>MIN($P$5:$Q$5)+IF($B$2="mil",1,0.0254)*DDR2Specs!$C$9</f>
        <v>#REF!</v>
      </c>
      <c r="R9" s="470" t="e">
        <f t="shared" si="2"/>
        <v>#REF!</v>
      </c>
      <c r="S9" s="471" t="e">
        <f t="shared" si="3"/>
        <v>#REF!</v>
      </c>
      <c r="T9" s="472" t="e">
        <f t="shared" si="7"/>
        <v>#REF!</v>
      </c>
      <c r="U9" s="473" t="e">
        <f t="shared" si="4"/>
        <v>#REF!</v>
      </c>
      <c r="V9" s="473" t="e">
        <f t="shared" ref="V9:V20" si="11">IF($H9&lt;=IF($B$2="mil",1,0.0254)*200,"Pass",IF($B$2="mil",1,0.0254)*200-$H9)</f>
        <v>#REF!</v>
      </c>
      <c r="W9" s="473" t="e">
        <f t="shared" si="5"/>
        <v>#REF!</v>
      </c>
      <c r="X9" s="473" t="e">
        <f t="shared" si="8"/>
        <v>#REF!</v>
      </c>
      <c r="Y9" s="473" t="e">
        <f t="shared" si="9"/>
        <v>#REF!</v>
      </c>
      <c r="Z9" s="474" t="e">
        <f t="shared" ca="1" si="10"/>
        <v>#NAME?</v>
      </c>
      <c r="AA9" s="380"/>
      <c r="AB9" s="380"/>
      <c r="AC9" s="350"/>
      <c r="AD9" s="350"/>
      <c r="AE9" s="350"/>
      <c r="AF9" s="350"/>
      <c r="AG9" s="350"/>
      <c r="AH9" s="350"/>
      <c r="AI9" s="350"/>
      <c r="AJ9" s="350"/>
      <c r="AK9" s="350"/>
      <c r="AL9" s="350"/>
      <c r="AM9" s="350"/>
      <c r="AN9" s="350"/>
      <c r="AO9" s="350"/>
      <c r="AP9" s="350"/>
      <c r="AQ9" s="350"/>
      <c r="AR9" s="350"/>
      <c r="AS9" s="350"/>
      <c r="AT9" s="4" t="e">
        <f t="shared" ca="1" si="6"/>
        <v>#REF!</v>
      </c>
    </row>
    <row r="10" spans="1:47" s="4" customFormat="1" x14ac:dyDescent="0.2">
      <c r="A10" s="161" t="s">
        <v>112</v>
      </c>
      <c r="B10" s="433" t="s">
        <v>469</v>
      </c>
      <c r="C10" s="562">
        <v>435.90551181102359</v>
      </c>
      <c r="D10" s="211"/>
      <c r="E10">
        <v>22.63</v>
      </c>
      <c r="F10">
        <v>0</v>
      </c>
      <c r="G10">
        <v>1476.89</v>
      </c>
      <c r="H10">
        <v>128.35</v>
      </c>
      <c r="I10" s="212"/>
      <c r="J10" s="276">
        <v>0</v>
      </c>
      <c r="K10">
        <v>42.5</v>
      </c>
      <c r="L10" s="213"/>
      <c r="M10" s="467">
        <f t="shared" si="0"/>
        <v>1627.8700000000001</v>
      </c>
      <c r="N10" s="467" t="e">
        <f t="shared" si="1"/>
        <v>#REF!</v>
      </c>
      <c r="O10" s="213"/>
      <c r="P10" s="469" t="e">
        <f>MAX($P$5:$Q$5)+IF($B$2="mil",1,0.0254)*DDR2Specs!$B$9</f>
        <v>#REF!</v>
      </c>
      <c r="Q10" s="469" t="e">
        <f>MIN($P$5:$Q$5)+IF($B$2="mil",1,0.0254)*DDR2Specs!$C$9</f>
        <v>#REF!</v>
      </c>
      <c r="R10" s="470" t="e">
        <f t="shared" si="2"/>
        <v>#REF!</v>
      </c>
      <c r="S10" s="471" t="e">
        <f t="shared" si="3"/>
        <v>#REF!</v>
      </c>
      <c r="T10" s="472" t="e">
        <f t="shared" si="7"/>
        <v>#REF!</v>
      </c>
      <c r="U10" s="473" t="e">
        <f t="shared" si="4"/>
        <v>#REF!</v>
      </c>
      <c r="V10" s="473" t="e">
        <f t="shared" si="11"/>
        <v>#REF!</v>
      </c>
      <c r="W10" s="473" t="e">
        <f t="shared" si="5"/>
        <v>#REF!</v>
      </c>
      <c r="X10" s="473" t="e">
        <f t="shared" si="8"/>
        <v>#REF!</v>
      </c>
      <c r="Y10" s="473" t="e">
        <f t="shared" si="9"/>
        <v>#REF!</v>
      </c>
      <c r="Z10" s="474" t="e">
        <f t="shared" ca="1" si="10"/>
        <v>#NAME?</v>
      </c>
      <c r="AA10" s="380"/>
      <c r="AB10" s="380"/>
      <c r="AC10" s="350"/>
      <c r="AD10" s="350"/>
      <c r="AE10" s="350"/>
      <c r="AF10" s="350"/>
      <c r="AG10" s="350"/>
      <c r="AH10" s="350"/>
      <c r="AI10" s="350"/>
      <c r="AJ10" s="350"/>
      <c r="AK10" s="350"/>
      <c r="AL10" s="350"/>
      <c r="AM10" s="350"/>
      <c r="AN10" s="350"/>
      <c r="AO10" s="350"/>
      <c r="AP10" s="350"/>
      <c r="AQ10" s="350"/>
      <c r="AR10" s="350"/>
      <c r="AS10" s="350"/>
      <c r="AT10" s="4" t="e">
        <f t="shared" ca="1" si="6"/>
        <v>#REF!</v>
      </c>
    </row>
    <row r="11" spans="1:47" s="4" customFormat="1" x14ac:dyDescent="0.2">
      <c r="A11" s="161" t="s">
        <v>113</v>
      </c>
      <c r="B11" s="433" t="s">
        <v>470</v>
      </c>
      <c r="C11" s="562">
        <v>381.06299212598429</v>
      </c>
      <c r="D11" s="211"/>
      <c r="E11">
        <v>22.63</v>
      </c>
      <c r="F11">
        <v>0</v>
      </c>
      <c r="G11">
        <v>1102.1400000000001</v>
      </c>
      <c r="H11">
        <v>148.03</v>
      </c>
      <c r="I11" s="212"/>
      <c r="J11" s="276">
        <v>0</v>
      </c>
      <c r="K11">
        <v>32.5</v>
      </c>
      <c r="L11" s="213"/>
      <c r="M11" s="467">
        <f t="shared" si="0"/>
        <v>1272.8000000000002</v>
      </c>
      <c r="N11" s="467" t="e">
        <f t="shared" si="1"/>
        <v>#REF!</v>
      </c>
      <c r="O11" s="213"/>
      <c r="P11" s="469" t="e">
        <f>MAX($P$5:$Q$5)+IF($B$2="mil",1,0.0254)*DDR2Specs!$B$9</f>
        <v>#REF!</v>
      </c>
      <c r="Q11" s="469" t="e">
        <f>MIN($P$5:$Q$5)+IF($B$2="mil",1,0.0254)*DDR2Specs!$C$9</f>
        <v>#REF!</v>
      </c>
      <c r="R11" s="470" t="e">
        <f t="shared" si="2"/>
        <v>#REF!</v>
      </c>
      <c r="S11" s="471" t="e">
        <f t="shared" si="3"/>
        <v>#REF!</v>
      </c>
      <c r="T11" s="472" t="e">
        <f t="shared" si="7"/>
        <v>#REF!</v>
      </c>
      <c r="U11" s="473" t="e">
        <f t="shared" si="4"/>
        <v>#REF!</v>
      </c>
      <c r="V11" s="473" t="e">
        <f t="shared" si="11"/>
        <v>#REF!</v>
      </c>
      <c r="W11" s="473" t="e">
        <f t="shared" si="5"/>
        <v>#REF!</v>
      </c>
      <c r="X11" s="473" t="e">
        <f t="shared" si="8"/>
        <v>#REF!</v>
      </c>
      <c r="Y11" s="473" t="e">
        <f t="shared" si="9"/>
        <v>#REF!</v>
      </c>
      <c r="Z11" s="474" t="e">
        <f t="shared" ca="1" si="10"/>
        <v>#NAME?</v>
      </c>
      <c r="AA11" s="380"/>
      <c r="AB11" s="380"/>
      <c r="AC11" s="350"/>
      <c r="AD11" s="350"/>
      <c r="AE11" s="350"/>
      <c r="AF11" s="350"/>
      <c r="AG11" s="350"/>
      <c r="AH11" s="350"/>
      <c r="AI11" s="350"/>
      <c r="AJ11" s="350"/>
      <c r="AK11" s="350"/>
      <c r="AL11" s="350"/>
      <c r="AM11" s="350"/>
      <c r="AN11" s="350"/>
      <c r="AO11" s="350"/>
      <c r="AP11" s="350"/>
      <c r="AQ11" s="350"/>
      <c r="AR11" s="350"/>
      <c r="AS11" s="350"/>
      <c r="AT11" s="4" t="e">
        <f t="shared" ca="1" si="6"/>
        <v>#REF!</v>
      </c>
    </row>
    <row r="12" spans="1:47" s="4" customFormat="1" x14ac:dyDescent="0.2">
      <c r="A12" s="161" t="s">
        <v>114</v>
      </c>
      <c r="B12" s="433" t="s">
        <v>471</v>
      </c>
      <c r="C12" s="562">
        <v>420.03937007874021</v>
      </c>
      <c r="D12" s="211"/>
      <c r="E12">
        <v>22.63</v>
      </c>
      <c r="F12">
        <v>0</v>
      </c>
      <c r="G12">
        <v>1480.51</v>
      </c>
      <c r="H12">
        <v>68.569999999999993</v>
      </c>
      <c r="I12" s="212"/>
      <c r="J12" s="276">
        <v>0</v>
      </c>
      <c r="K12">
        <v>109.07</v>
      </c>
      <c r="L12" s="213"/>
      <c r="M12" s="467">
        <f t="shared" si="0"/>
        <v>1571.71</v>
      </c>
      <c r="N12" s="467" t="e">
        <f t="shared" si="1"/>
        <v>#REF!</v>
      </c>
      <c r="O12" s="213"/>
      <c r="P12" s="469" t="e">
        <f>MAX($P$5:$Q$5)+IF($B$2="mil",1,0.0254)*DDR2Specs!$B$9</f>
        <v>#REF!</v>
      </c>
      <c r="Q12" s="469" t="e">
        <f>MIN($P$5:$Q$5)+IF($B$2="mil",1,0.0254)*DDR2Specs!$C$9</f>
        <v>#REF!</v>
      </c>
      <c r="R12" s="470" t="e">
        <f t="shared" si="2"/>
        <v>#REF!</v>
      </c>
      <c r="S12" s="471" t="e">
        <f t="shared" si="3"/>
        <v>#REF!</v>
      </c>
      <c r="T12" s="472" t="e">
        <f t="shared" si="7"/>
        <v>#REF!</v>
      </c>
      <c r="U12" s="473" t="e">
        <f t="shared" si="4"/>
        <v>#REF!</v>
      </c>
      <c r="V12" s="473" t="e">
        <f t="shared" si="11"/>
        <v>#REF!</v>
      </c>
      <c r="W12" s="473" t="e">
        <f t="shared" si="5"/>
        <v>#REF!</v>
      </c>
      <c r="X12" s="473" t="e">
        <f t="shared" si="8"/>
        <v>#REF!</v>
      </c>
      <c r="Y12" s="473" t="e">
        <f t="shared" si="9"/>
        <v>#REF!</v>
      </c>
      <c r="Z12" s="474" t="e">
        <f t="shared" ca="1" si="10"/>
        <v>#NAME?</v>
      </c>
      <c r="AA12" s="380"/>
      <c r="AB12" s="380"/>
      <c r="AC12" s="350"/>
      <c r="AD12" s="350"/>
      <c r="AE12" s="350"/>
      <c r="AF12" s="350"/>
      <c r="AG12" s="350"/>
      <c r="AH12" s="350"/>
      <c r="AI12" s="350"/>
      <c r="AJ12" s="350"/>
      <c r="AK12" s="350"/>
      <c r="AL12" s="350"/>
      <c r="AM12" s="350"/>
      <c r="AN12" s="350"/>
      <c r="AO12" s="350"/>
      <c r="AP12" s="350"/>
      <c r="AQ12" s="350"/>
      <c r="AR12" s="350"/>
      <c r="AS12" s="350"/>
      <c r="AT12" s="4" t="e">
        <f t="shared" ca="1" si="6"/>
        <v>#REF!</v>
      </c>
    </row>
    <row r="13" spans="1:47" s="4" customFormat="1" x14ac:dyDescent="0.2">
      <c r="A13" s="161" t="s">
        <v>116</v>
      </c>
      <c r="B13" s="433" t="s">
        <v>472</v>
      </c>
      <c r="C13" s="562">
        <v>468.89763779527561</v>
      </c>
      <c r="D13" s="211"/>
      <c r="E13">
        <v>22.63</v>
      </c>
      <c r="F13">
        <v>0</v>
      </c>
      <c r="G13">
        <v>1202.74</v>
      </c>
      <c r="H13">
        <v>87.62</v>
      </c>
      <c r="I13" s="212"/>
      <c r="J13" s="276">
        <v>0</v>
      </c>
      <c r="K13">
        <v>89.93</v>
      </c>
      <c r="L13" s="213"/>
      <c r="M13" s="467">
        <f t="shared" si="0"/>
        <v>1312.9900000000002</v>
      </c>
      <c r="N13" s="467" t="e">
        <f t="shared" si="1"/>
        <v>#REF!</v>
      </c>
      <c r="O13" s="213"/>
      <c r="P13" s="469" t="e">
        <f>MAX($P$5:$Q$5)+IF($B$2="mil",1,0.0254)*DDR2Specs!$B$9</f>
        <v>#REF!</v>
      </c>
      <c r="Q13" s="469" t="e">
        <f>MIN($P$5:$Q$5)+IF($B$2="mil",1,0.0254)*DDR2Specs!$C$9</f>
        <v>#REF!</v>
      </c>
      <c r="R13" s="470" t="e">
        <f t="shared" si="2"/>
        <v>#REF!</v>
      </c>
      <c r="S13" s="471" t="e">
        <f t="shared" si="3"/>
        <v>#REF!</v>
      </c>
      <c r="T13" s="472" t="e">
        <f t="shared" si="7"/>
        <v>#REF!</v>
      </c>
      <c r="U13" s="473" t="e">
        <f t="shared" si="4"/>
        <v>#REF!</v>
      </c>
      <c r="V13" s="473" t="e">
        <f t="shared" si="11"/>
        <v>#REF!</v>
      </c>
      <c r="W13" s="473" t="e">
        <f t="shared" si="5"/>
        <v>#REF!</v>
      </c>
      <c r="X13" s="473" t="e">
        <f t="shared" si="8"/>
        <v>#REF!</v>
      </c>
      <c r="Y13" s="473" t="e">
        <f t="shared" si="9"/>
        <v>#REF!</v>
      </c>
      <c r="Z13" s="474" t="e">
        <f t="shared" ca="1" si="10"/>
        <v>#NAME?</v>
      </c>
      <c r="AA13" s="380"/>
      <c r="AB13" s="380"/>
      <c r="AC13" s="350"/>
      <c r="AD13" s="350"/>
      <c r="AE13" s="350"/>
      <c r="AF13" s="350"/>
      <c r="AG13" s="350"/>
      <c r="AH13" s="350"/>
      <c r="AI13" s="350"/>
      <c r="AJ13" s="350"/>
      <c r="AK13" s="350"/>
      <c r="AL13" s="350"/>
      <c r="AM13" s="350"/>
      <c r="AN13" s="350"/>
      <c r="AO13" s="350"/>
      <c r="AP13" s="350"/>
      <c r="AQ13" s="350"/>
      <c r="AR13" s="350"/>
      <c r="AS13" s="350"/>
      <c r="AT13" s="4" t="e">
        <f t="shared" ca="1" si="6"/>
        <v>#REF!</v>
      </c>
    </row>
    <row r="14" spans="1:47" s="4" customFormat="1" x14ac:dyDescent="0.2">
      <c r="A14" s="161" t="s">
        <v>117</v>
      </c>
      <c r="B14" s="433" t="s">
        <v>357</v>
      </c>
      <c r="C14" s="562">
        <v>508.74015748031502</v>
      </c>
      <c r="D14" s="211"/>
      <c r="E14">
        <v>22.63</v>
      </c>
      <c r="F14">
        <v>0</v>
      </c>
      <c r="G14">
        <v>989.61</v>
      </c>
      <c r="H14">
        <v>151.84</v>
      </c>
      <c r="I14" s="212"/>
      <c r="J14" s="276">
        <v>0</v>
      </c>
      <c r="K14">
        <v>32.5</v>
      </c>
      <c r="L14" s="213"/>
      <c r="M14" s="467">
        <f t="shared" si="0"/>
        <v>1164.08</v>
      </c>
      <c r="N14" s="467" t="e">
        <f t="shared" si="1"/>
        <v>#REF!</v>
      </c>
      <c r="O14" s="213"/>
      <c r="P14" s="469" t="e">
        <f>MAX($P$5:$Q$5)+IF($B$2="mil",1,0.0254)*DDR2Specs!$B$9</f>
        <v>#REF!</v>
      </c>
      <c r="Q14" s="469" t="e">
        <f>MIN($P$5:$Q$5)+IF($B$2="mil",1,0.0254)*DDR2Specs!$C$9</f>
        <v>#REF!</v>
      </c>
      <c r="R14" s="470" t="e">
        <f t="shared" si="2"/>
        <v>#REF!</v>
      </c>
      <c r="S14" s="471" t="e">
        <f t="shared" si="3"/>
        <v>#REF!</v>
      </c>
      <c r="T14" s="472" t="e">
        <f t="shared" si="7"/>
        <v>#REF!</v>
      </c>
      <c r="U14" s="473" t="e">
        <f t="shared" si="4"/>
        <v>#REF!</v>
      </c>
      <c r="V14" s="473" t="e">
        <f t="shared" si="11"/>
        <v>#REF!</v>
      </c>
      <c r="W14" s="473" t="e">
        <f t="shared" si="5"/>
        <v>#REF!</v>
      </c>
      <c r="X14" s="473" t="e">
        <f t="shared" si="8"/>
        <v>#REF!</v>
      </c>
      <c r="Y14" s="473" t="e">
        <f t="shared" si="9"/>
        <v>#REF!</v>
      </c>
      <c r="Z14" s="474" t="e">
        <f t="shared" ca="1" si="10"/>
        <v>#NAME?</v>
      </c>
      <c r="AA14" s="380"/>
      <c r="AB14" s="380"/>
      <c r="AC14" s="350"/>
      <c r="AD14" s="350"/>
      <c r="AE14" s="350"/>
      <c r="AF14" s="350"/>
      <c r="AG14" s="350"/>
      <c r="AH14" s="350"/>
      <c r="AI14" s="350"/>
      <c r="AJ14" s="350"/>
      <c r="AK14" s="350"/>
      <c r="AL14" s="350"/>
      <c r="AM14" s="350"/>
      <c r="AN14" s="350"/>
      <c r="AO14" s="350"/>
      <c r="AP14" s="350"/>
      <c r="AQ14" s="350"/>
      <c r="AR14" s="350"/>
      <c r="AS14" s="350"/>
      <c r="AT14" s="4" t="e">
        <f t="shared" ca="1" si="6"/>
        <v>#REF!</v>
      </c>
    </row>
    <row r="15" spans="1:47" s="4" customFormat="1" x14ac:dyDescent="0.2">
      <c r="A15" s="161" t="s">
        <v>118</v>
      </c>
      <c r="B15" s="433" t="s">
        <v>473</v>
      </c>
      <c r="C15" s="562">
        <v>529.40944881889766</v>
      </c>
      <c r="D15" s="211"/>
      <c r="E15">
        <v>22.63</v>
      </c>
      <c r="F15">
        <v>0</v>
      </c>
      <c r="G15">
        <v>1477.13</v>
      </c>
      <c r="H15">
        <v>132.16</v>
      </c>
      <c r="I15" s="212"/>
      <c r="J15" s="276">
        <v>0</v>
      </c>
      <c r="K15">
        <v>42.5</v>
      </c>
      <c r="L15" s="213"/>
      <c r="M15" s="467">
        <f t="shared" si="0"/>
        <v>1631.9200000000003</v>
      </c>
      <c r="N15" s="467" t="e">
        <f t="shared" si="1"/>
        <v>#REF!</v>
      </c>
      <c r="O15" s="213"/>
      <c r="P15" s="469" t="e">
        <f>MAX($P$5:$Q$5)+IF($B$2="mil",1,0.0254)*DDR2Specs!$B$9</f>
        <v>#REF!</v>
      </c>
      <c r="Q15" s="469" t="e">
        <f>MIN($P$5:$Q$5)+IF($B$2="mil",1,0.0254)*DDR2Specs!$C$9</f>
        <v>#REF!</v>
      </c>
      <c r="R15" s="470" t="e">
        <f t="shared" si="2"/>
        <v>#REF!</v>
      </c>
      <c r="S15" s="471" t="e">
        <f t="shared" si="3"/>
        <v>#REF!</v>
      </c>
      <c r="T15" s="472" t="e">
        <f t="shared" si="7"/>
        <v>#REF!</v>
      </c>
      <c r="U15" s="473" t="e">
        <f t="shared" si="4"/>
        <v>#REF!</v>
      </c>
      <c r="V15" s="473" t="e">
        <f t="shared" si="11"/>
        <v>#REF!</v>
      </c>
      <c r="W15" s="473" t="e">
        <f t="shared" si="5"/>
        <v>#REF!</v>
      </c>
      <c r="X15" s="473" t="e">
        <f t="shared" si="8"/>
        <v>#REF!</v>
      </c>
      <c r="Y15" s="473" t="e">
        <f t="shared" si="9"/>
        <v>#REF!</v>
      </c>
      <c r="Z15" s="474" t="e">
        <f t="shared" ca="1" si="10"/>
        <v>#NAME?</v>
      </c>
      <c r="AA15" s="380"/>
      <c r="AB15" s="380"/>
      <c r="AC15" s="350"/>
      <c r="AD15" s="350"/>
      <c r="AE15" s="350"/>
      <c r="AF15" s="350"/>
      <c r="AG15" s="350"/>
      <c r="AH15" s="350"/>
      <c r="AI15" s="350"/>
      <c r="AJ15" s="350"/>
      <c r="AK15" s="350"/>
      <c r="AL15" s="350"/>
      <c r="AM15" s="350"/>
      <c r="AN15" s="350"/>
      <c r="AO15" s="350"/>
      <c r="AP15" s="350"/>
      <c r="AQ15" s="350"/>
      <c r="AR15" s="350"/>
      <c r="AS15" s="350"/>
      <c r="AT15" s="4" t="e">
        <f t="shared" ca="1" si="6"/>
        <v>#REF!</v>
      </c>
    </row>
    <row r="16" spans="1:47" s="4" customFormat="1" x14ac:dyDescent="0.2">
      <c r="A16" s="161" t="s">
        <v>120</v>
      </c>
      <c r="B16" s="433" t="s">
        <v>358</v>
      </c>
      <c r="C16" s="562">
        <v>442.40157480314963</v>
      </c>
      <c r="D16" s="211"/>
      <c r="E16">
        <v>22.63</v>
      </c>
      <c r="F16">
        <v>0</v>
      </c>
      <c r="G16">
        <v>1563.53</v>
      </c>
      <c r="H16">
        <v>77.38</v>
      </c>
      <c r="I16" s="212"/>
      <c r="J16" s="276">
        <v>0</v>
      </c>
      <c r="K16">
        <v>104.07</v>
      </c>
      <c r="L16" s="213"/>
      <c r="M16" s="467">
        <f t="shared" si="0"/>
        <v>1663.54</v>
      </c>
      <c r="N16" s="467" t="e">
        <f t="shared" si="1"/>
        <v>#REF!</v>
      </c>
      <c r="O16" s="213"/>
      <c r="P16" s="469" t="e">
        <f>MAX($P$5:$Q$5)+IF($B$2="mil",1,0.0254)*DDR2Specs!$B$9</f>
        <v>#REF!</v>
      </c>
      <c r="Q16" s="469" t="e">
        <f>MIN($P$5:$Q$5)+IF($B$2="mil",1,0.0254)*DDR2Specs!$C$9</f>
        <v>#REF!</v>
      </c>
      <c r="R16" s="470" t="e">
        <f t="shared" si="2"/>
        <v>#REF!</v>
      </c>
      <c r="S16" s="471" t="e">
        <f t="shared" si="3"/>
        <v>#REF!</v>
      </c>
      <c r="T16" s="472" t="e">
        <f t="shared" si="7"/>
        <v>#REF!</v>
      </c>
      <c r="U16" s="473" t="e">
        <f t="shared" si="4"/>
        <v>#REF!</v>
      </c>
      <c r="V16" s="473" t="e">
        <f t="shared" si="11"/>
        <v>#REF!</v>
      </c>
      <c r="W16" s="473" t="e">
        <f t="shared" si="5"/>
        <v>#REF!</v>
      </c>
      <c r="X16" s="473" t="e">
        <f t="shared" si="8"/>
        <v>#REF!</v>
      </c>
      <c r="Y16" s="473" t="e">
        <f t="shared" si="9"/>
        <v>#REF!</v>
      </c>
      <c r="Z16" s="474" t="e">
        <f t="shared" ca="1" si="10"/>
        <v>#NAME?</v>
      </c>
      <c r="AA16" s="380"/>
      <c r="AB16" s="380"/>
      <c r="AC16" s="350"/>
      <c r="AD16" s="350"/>
      <c r="AE16" s="350"/>
      <c r="AF16" s="350"/>
      <c r="AG16" s="350"/>
      <c r="AH16" s="350"/>
      <c r="AI16" s="350"/>
      <c r="AJ16" s="350"/>
      <c r="AK16" s="350"/>
      <c r="AL16" s="350"/>
      <c r="AM16" s="350"/>
      <c r="AN16" s="350"/>
      <c r="AO16" s="350"/>
      <c r="AP16" s="350"/>
      <c r="AQ16" s="350"/>
      <c r="AR16" s="350"/>
      <c r="AS16" s="350"/>
      <c r="AT16" s="4" t="e">
        <f t="shared" ca="1" si="6"/>
        <v>#REF!</v>
      </c>
    </row>
    <row r="17" spans="1:46" s="4" customFormat="1" x14ac:dyDescent="0.2">
      <c r="A17" s="161" t="s">
        <v>122</v>
      </c>
      <c r="B17" s="433" t="s">
        <v>97</v>
      </c>
      <c r="C17" s="562">
        <v>397.71653543307087</v>
      </c>
      <c r="D17" s="211"/>
      <c r="E17">
        <v>22.63</v>
      </c>
      <c r="F17">
        <v>0</v>
      </c>
      <c r="G17">
        <v>1387.5</v>
      </c>
      <c r="H17">
        <v>124.58</v>
      </c>
      <c r="I17" s="212"/>
      <c r="J17" s="276">
        <v>0</v>
      </c>
      <c r="K17">
        <v>42.5</v>
      </c>
      <c r="L17" s="213"/>
      <c r="M17" s="467">
        <f t="shared" si="0"/>
        <v>1534.71</v>
      </c>
      <c r="N17" s="467" t="e">
        <f t="shared" si="1"/>
        <v>#REF!</v>
      </c>
      <c r="O17" s="213"/>
      <c r="P17" s="469" t="e">
        <f>MAX($P$5:$Q$5)+IF($B$2="mil",1,0.0254)*DDR2Specs!$B$9</f>
        <v>#REF!</v>
      </c>
      <c r="Q17" s="469" t="e">
        <f>MIN($P$5:$Q$5)+IF($B$2="mil",1,0.0254)*DDR2Specs!$C$9</f>
        <v>#REF!</v>
      </c>
      <c r="R17" s="470" t="e">
        <f t="shared" si="2"/>
        <v>#REF!</v>
      </c>
      <c r="S17" s="471" t="e">
        <f t="shared" si="3"/>
        <v>#REF!</v>
      </c>
      <c r="T17" s="472" t="e">
        <f t="shared" si="7"/>
        <v>#REF!</v>
      </c>
      <c r="U17" s="473" t="e">
        <f t="shared" si="4"/>
        <v>#REF!</v>
      </c>
      <c r="V17" s="473" t="e">
        <f t="shared" si="11"/>
        <v>#REF!</v>
      </c>
      <c r="W17" s="473" t="e">
        <f t="shared" si="5"/>
        <v>#REF!</v>
      </c>
      <c r="X17" s="473" t="e">
        <f t="shared" si="8"/>
        <v>#REF!</v>
      </c>
      <c r="Y17" s="473" t="e">
        <f t="shared" si="9"/>
        <v>#REF!</v>
      </c>
      <c r="Z17" s="474" t="e">
        <f t="shared" ca="1" si="10"/>
        <v>#NAME?</v>
      </c>
      <c r="AA17" s="380"/>
      <c r="AB17" s="380"/>
      <c r="AC17" s="350"/>
      <c r="AD17" s="350"/>
      <c r="AE17" s="350"/>
      <c r="AF17" s="350"/>
      <c r="AG17" s="350"/>
      <c r="AH17" s="350"/>
      <c r="AI17" s="350"/>
      <c r="AJ17" s="350"/>
      <c r="AK17" s="350"/>
      <c r="AL17" s="350"/>
      <c r="AM17" s="350"/>
      <c r="AN17" s="350"/>
      <c r="AO17" s="350"/>
      <c r="AP17" s="350"/>
      <c r="AQ17" s="350"/>
      <c r="AR17" s="350"/>
      <c r="AS17" s="350"/>
      <c r="AT17" s="4" t="e">
        <f t="shared" ca="1" si="6"/>
        <v>#REF!</v>
      </c>
    </row>
    <row r="18" spans="1:46" s="4" customFormat="1" x14ac:dyDescent="0.2">
      <c r="A18" s="161" t="s">
        <v>123</v>
      </c>
      <c r="B18" s="433" t="s">
        <v>474</v>
      </c>
      <c r="C18" s="562">
        <v>543.54330708661416</v>
      </c>
      <c r="D18" s="211"/>
      <c r="E18">
        <v>22.63</v>
      </c>
      <c r="F18">
        <v>0</v>
      </c>
      <c r="G18">
        <v>1043.31</v>
      </c>
      <c r="H18">
        <v>137.91999999999999</v>
      </c>
      <c r="I18" s="212"/>
      <c r="J18" s="276">
        <v>0</v>
      </c>
      <c r="K18">
        <v>79.569999999999993</v>
      </c>
      <c r="L18" s="213"/>
      <c r="M18" s="467">
        <f t="shared" si="0"/>
        <v>1203.8600000000001</v>
      </c>
      <c r="N18" s="467" t="e">
        <f t="shared" si="1"/>
        <v>#REF!</v>
      </c>
      <c r="O18" s="213"/>
      <c r="P18" s="469" t="e">
        <f>MAX($P$5:$Q$5)+IF($B$2="mil",1,0.0254)*DDR2Specs!$B$9</f>
        <v>#REF!</v>
      </c>
      <c r="Q18" s="469" t="e">
        <f>MIN($P$5:$Q$5)+IF($B$2="mil",1,0.0254)*DDR2Specs!$C$9</f>
        <v>#REF!</v>
      </c>
      <c r="R18" s="470" t="e">
        <f t="shared" si="2"/>
        <v>#REF!</v>
      </c>
      <c r="S18" s="471" t="e">
        <f t="shared" si="3"/>
        <v>#REF!</v>
      </c>
      <c r="T18" s="472" t="e">
        <f t="shared" si="7"/>
        <v>#REF!</v>
      </c>
      <c r="U18" s="473" t="e">
        <f t="shared" si="4"/>
        <v>#REF!</v>
      </c>
      <c r="V18" s="473" t="e">
        <f t="shared" si="11"/>
        <v>#REF!</v>
      </c>
      <c r="W18" s="473" t="e">
        <f t="shared" si="5"/>
        <v>#REF!</v>
      </c>
      <c r="X18" s="473" t="e">
        <f t="shared" si="8"/>
        <v>#REF!</v>
      </c>
      <c r="Y18" s="473" t="e">
        <f t="shared" si="9"/>
        <v>#REF!</v>
      </c>
      <c r="Z18" s="474" t="e">
        <f t="shared" ca="1" si="10"/>
        <v>#NAME?</v>
      </c>
      <c r="AA18" s="380"/>
      <c r="AB18" s="380"/>
      <c r="AC18" s="350"/>
      <c r="AD18" s="350"/>
      <c r="AE18" s="350"/>
      <c r="AF18" s="350"/>
      <c r="AG18" s="350"/>
      <c r="AH18" s="350"/>
      <c r="AI18" s="350"/>
      <c r="AJ18" s="350"/>
      <c r="AK18" s="350"/>
      <c r="AL18" s="350"/>
      <c r="AM18" s="350"/>
      <c r="AN18" s="350"/>
      <c r="AO18" s="350"/>
      <c r="AP18" s="350"/>
      <c r="AQ18" s="350"/>
      <c r="AR18" s="350"/>
      <c r="AS18" s="350"/>
      <c r="AT18" s="4" t="e">
        <f t="shared" ca="1" si="6"/>
        <v>#REF!</v>
      </c>
    </row>
    <row r="19" spans="1:46" s="4" customFormat="1" x14ac:dyDescent="0.2">
      <c r="A19" s="161" t="s">
        <v>124</v>
      </c>
      <c r="B19" s="433" t="s">
        <v>475</v>
      </c>
      <c r="C19" s="562">
        <v>492.79527559055117</v>
      </c>
      <c r="D19" s="211"/>
      <c r="E19">
        <v>22.63</v>
      </c>
      <c r="F19">
        <v>0</v>
      </c>
      <c r="G19">
        <v>1627.19</v>
      </c>
      <c r="H19">
        <v>143.63</v>
      </c>
      <c r="I19" s="212"/>
      <c r="J19" s="276">
        <v>0</v>
      </c>
      <c r="K19">
        <v>44.57</v>
      </c>
      <c r="L19" s="213"/>
      <c r="M19" s="467">
        <f t="shared" si="0"/>
        <v>1793.4500000000003</v>
      </c>
      <c r="N19" s="467" t="e">
        <f t="shared" si="1"/>
        <v>#REF!</v>
      </c>
      <c r="O19" s="213"/>
      <c r="P19" s="469" t="e">
        <f>MAX($P$5:$Q$5)+IF($B$2="mil",1,0.0254)*DDR2Specs!$B$9</f>
        <v>#REF!</v>
      </c>
      <c r="Q19" s="469" t="e">
        <f>MIN($P$5:$Q$5)+IF($B$2="mil",1,0.0254)*DDR2Specs!$C$9</f>
        <v>#REF!</v>
      </c>
      <c r="R19" s="470" t="e">
        <f t="shared" si="2"/>
        <v>#REF!</v>
      </c>
      <c r="S19" s="471" t="e">
        <f t="shared" si="3"/>
        <v>#REF!</v>
      </c>
      <c r="T19" s="472" t="e">
        <f t="shared" si="7"/>
        <v>#REF!</v>
      </c>
      <c r="U19" s="473" t="e">
        <f t="shared" si="4"/>
        <v>#REF!</v>
      </c>
      <c r="V19" s="473" t="e">
        <f t="shared" si="11"/>
        <v>#REF!</v>
      </c>
      <c r="W19" s="473" t="e">
        <f t="shared" si="5"/>
        <v>#REF!</v>
      </c>
      <c r="X19" s="473" t="e">
        <f t="shared" si="8"/>
        <v>#REF!</v>
      </c>
      <c r="Y19" s="473" t="e">
        <f t="shared" si="9"/>
        <v>#REF!</v>
      </c>
      <c r="Z19" s="474" t="e">
        <f t="shared" ca="1" si="10"/>
        <v>#NAME?</v>
      </c>
      <c r="AA19" s="380"/>
      <c r="AB19" s="380"/>
      <c r="AC19" s="350"/>
      <c r="AD19" s="350"/>
      <c r="AE19" s="350"/>
      <c r="AF19" s="350"/>
      <c r="AG19" s="350"/>
      <c r="AH19" s="350"/>
      <c r="AI19" s="350"/>
      <c r="AJ19" s="350"/>
      <c r="AK19" s="350"/>
      <c r="AL19" s="350"/>
      <c r="AM19" s="350"/>
      <c r="AN19" s="350"/>
      <c r="AO19" s="350"/>
      <c r="AP19" s="350"/>
      <c r="AQ19" s="350"/>
      <c r="AR19" s="350"/>
      <c r="AS19" s="350"/>
      <c r="AT19" s="4" t="e">
        <f t="shared" ca="1" si="6"/>
        <v>#REF!</v>
      </c>
    </row>
    <row r="20" spans="1:46" s="4" customFormat="1" x14ac:dyDescent="0.2">
      <c r="A20" s="161" t="s">
        <v>126</v>
      </c>
      <c r="B20" s="433" t="s">
        <v>355</v>
      </c>
      <c r="C20" s="562">
        <v>514.48818897637796</v>
      </c>
      <c r="D20" s="332"/>
      <c r="E20">
        <v>22.63</v>
      </c>
      <c r="F20">
        <v>0</v>
      </c>
      <c r="G20">
        <v>1248.07</v>
      </c>
      <c r="H20">
        <v>81.33</v>
      </c>
      <c r="I20" s="212"/>
      <c r="J20" s="276">
        <v>0</v>
      </c>
      <c r="K20">
        <v>83.71</v>
      </c>
      <c r="L20" s="213"/>
      <c r="M20" s="467">
        <f t="shared" si="0"/>
        <v>1352.03</v>
      </c>
      <c r="N20" s="467" t="e">
        <f t="shared" si="1"/>
        <v>#REF!</v>
      </c>
      <c r="O20" s="213"/>
      <c r="P20" s="469" t="e">
        <f>MAX($P$5:$Q$5)+IF($B$2="mil",1,0.0254)*DDR2Specs!$B$9</f>
        <v>#REF!</v>
      </c>
      <c r="Q20" s="469" t="e">
        <f>MIN($P$5:$Q$5)+IF($B$2="mil",1,0.0254)*DDR2Specs!$C$9</f>
        <v>#REF!</v>
      </c>
      <c r="R20" s="470" t="e">
        <f t="shared" si="2"/>
        <v>#REF!</v>
      </c>
      <c r="S20" s="471" t="e">
        <f t="shared" si="3"/>
        <v>#REF!</v>
      </c>
      <c r="T20" s="472" t="e">
        <f t="shared" si="7"/>
        <v>#REF!</v>
      </c>
      <c r="U20" s="473" t="e">
        <f t="shared" si="4"/>
        <v>#REF!</v>
      </c>
      <c r="V20" s="473" t="e">
        <f t="shared" si="11"/>
        <v>#REF!</v>
      </c>
      <c r="W20" s="473" t="e">
        <f t="shared" si="5"/>
        <v>#REF!</v>
      </c>
      <c r="X20" s="473" t="e">
        <f t="shared" si="8"/>
        <v>#REF!</v>
      </c>
      <c r="Y20" s="473" t="e">
        <f t="shared" si="9"/>
        <v>#REF!</v>
      </c>
      <c r="Z20" s="474" t="e">
        <f ca="1">CheckLength2(IF($B$2="mil",1,0.0254)*1500,J20,K20,0)</f>
        <v>#NAME?</v>
      </c>
      <c r="AA20" s="380"/>
      <c r="AB20" s="380"/>
      <c r="AC20" s="350"/>
      <c r="AD20" s="350"/>
      <c r="AE20" s="350"/>
      <c r="AF20" s="350"/>
      <c r="AG20" s="350"/>
      <c r="AH20" s="350"/>
      <c r="AI20" s="350"/>
      <c r="AJ20" s="350"/>
      <c r="AK20" s="350"/>
      <c r="AL20" s="350"/>
      <c r="AM20" s="350"/>
      <c r="AN20" s="350"/>
      <c r="AO20" s="350"/>
      <c r="AP20" s="350"/>
      <c r="AQ20" s="350"/>
      <c r="AR20" s="350"/>
      <c r="AS20" s="350"/>
      <c r="AT20" s="4" t="e">
        <f t="shared" ca="1" si="6"/>
        <v>#REF!</v>
      </c>
    </row>
    <row r="21" spans="1:46" s="4" customFormat="1" ht="11.25" x14ac:dyDescent="0.2">
      <c r="A21" s="415" t="s">
        <v>287</v>
      </c>
      <c r="B21" s="134"/>
      <c r="C21" s="566"/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249"/>
      <c r="O21" s="155"/>
      <c r="P21" s="155"/>
      <c r="Q21" s="476"/>
      <c r="R21" s="477"/>
      <c r="S21" s="477"/>
      <c r="T21" s="155"/>
      <c r="U21" s="155"/>
      <c r="V21" s="385"/>
      <c r="W21" s="155"/>
      <c r="X21" s="155"/>
      <c r="Y21" s="155"/>
      <c r="Z21" s="155"/>
      <c r="AA21" s="513"/>
      <c r="AB21" s="513"/>
      <c r="AC21" s="416"/>
      <c r="AD21" s="416"/>
      <c r="AE21" s="416"/>
      <c r="AF21" s="416"/>
      <c r="AG21" s="416"/>
      <c r="AH21" s="416"/>
      <c r="AI21" s="416"/>
      <c r="AJ21" s="416"/>
      <c r="AK21" s="416"/>
      <c r="AL21" s="416"/>
      <c r="AM21" s="416"/>
      <c r="AN21" s="416"/>
      <c r="AO21" s="416"/>
      <c r="AP21" s="416"/>
      <c r="AQ21" s="416"/>
      <c r="AR21" s="416"/>
      <c r="AS21" s="416"/>
    </row>
    <row r="22" spans="1:46" s="4" customFormat="1" x14ac:dyDescent="0.2">
      <c r="A22" s="161" t="s">
        <v>128</v>
      </c>
      <c r="B22" s="433" t="s">
        <v>81</v>
      </c>
      <c r="C22" s="562">
        <v>428.58267716535431</v>
      </c>
      <c r="D22" s="332"/>
      <c r="E22">
        <v>22.63</v>
      </c>
      <c r="F22">
        <v>0</v>
      </c>
      <c r="G22">
        <v>1431.77</v>
      </c>
      <c r="H22">
        <v>68.28</v>
      </c>
      <c r="I22" s="212"/>
      <c r="J22" s="276">
        <v>0</v>
      </c>
      <c r="K22">
        <v>94.57</v>
      </c>
      <c r="L22" s="213"/>
      <c r="M22" s="467">
        <f xml:space="preserve"> E22+F22+G22+H22</f>
        <v>1522.68</v>
      </c>
      <c r="N22" s="467" t="e">
        <f>IF($B$2="mil",1,0.0254)*C22+ M22</f>
        <v>#REF!</v>
      </c>
      <c r="O22" s="213"/>
      <c r="P22" s="469" t="e">
        <f>MAX($P$5:$Q$5)+IF($B$2="mil",1,0.0254)*DDR2Specs!$B$9</f>
        <v>#REF!</v>
      </c>
      <c r="Q22" s="469" t="e">
        <f>MIN($P$5:$Q$5)+IF($B$2="mil",1,0.0254)*DDR2Specs!$C$9</f>
        <v>#REF!</v>
      </c>
      <c r="R22" s="470" t="e">
        <f>IF($N22&lt;$P22,$P22-$N22,"Pass")</f>
        <v>#REF!</v>
      </c>
      <c r="S22" s="471" t="e">
        <f>IF($N22&gt;$Q22,$N22-$Q22,"Pass")</f>
        <v>#REF!</v>
      </c>
      <c r="T22" s="472" t="e">
        <f>IF($E22&lt;=IF($B$2="mil",1,0.0254)*50,"Pass",IF($B$2="mil",1,0.0254)*50-$E22)</f>
        <v>#REF!</v>
      </c>
      <c r="U22" s="473" t="e">
        <f>IF($F22&lt;=IF($B$2="mil",1,0.0254)*500,"Pass",IF($B$2="mil",1,0.0254)*500-$F22)</f>
        <v>#REF!</v>
      </c>
      <c r="V22" s="473" t="e">
        <f>IF($H22&lt;=IF($B$2="mil",1,0.0254)*200,"Pass",IF($B$2="mil",1,0.0254)*200-$H22)</f>
        <v>#REF!</v>
      </c>
      <c r="W22" s="473" t="e">
        <f>IF(AND($M22&gt;=IF($B$2="mil",1,0.0254)*500, $M22&lt;=IF($B$2="mil",1,0.0254)*4500),"Pass",IF($B$2="mil",1,0.0254)*4500-$M22)</f>
        <v>#REF!</v>
      </c>
      <c r="X22" s="473" t="e">
        <f>IF(AND($N22&gt;=IF($B$2="mil",1,0.0254)*500, $N22&lt;=IF($B$2="mil",1,0.0254)*5000),"Pass",IF($B$2="mil",1,0.0254)*5000-$N22)</f>
        <v>#REF!</v>
      </c>
      <c r="Y22" s="473" t="e">
        <f t="shared" si="9"/>
        <v>#REF!</v>
      </c>
      <c r="Z22" s="474" t="e">
        <f ca="1">CheckLength2(IF($B$2="mil",1,0.0254)*1500,J22,K22,0)</f>
        <v>#NAME?</v>
      </c>
      <c r="AA22" s="380"/>
      <c r="AB22" s="380"/>
      <c r="AC22" s="350"/>
      <c r="AD22" s="350"/>
      <c r="AE22" s="350"/>
      <c r="AF22" s="350"/>
      <c r="AG22" s="350"/>
      <c r="AH22" s="350"/>
      <c r="AI22" s="350"/>
      <c r="AJ22" s="350"/>
      <c r="AK22" s="350"/>
      <c r="AL22" s="350"/>
      <c r="AM22" s="350"/>
      <c r="AN22" s="350"/>
      <c r="AO22" s="350"/>
      <c r="AP22" s="350"/>
      <c r="AQ22" s="350"/>
      <c r="AR22" s="350"/>
      <c r="AS22" s="350"/>
      <c r="AT22" s="4" t="e">
        <f ca="1">IF(AND(R22="Pass",S22="Pass",T22="Pass",U22="Pass",V22="Pass",W22="Pass",X22="Pass",Y22="Pass",Z22="Pass"),"Pass","Fail")</f>
        <v>#REF!</v>
      </c>
    </row>
    <row r="23" spans="1:46" s="4" customFormat="1" x14ac:dyDescent="0.2">
      <c r="A23" s="215" t="s">
        <v>130</v>
      </c>
      <c r="B23" s="433" t="s">
        <v>119</v>
      </c>
      <c r="C23" s="562">
        <v>331.69291338582678</v>
      </c>
      <c r="D23" s="332"/>
      <c r="E23">
        <v>22.63</v>
      </c>
      <c r="F23">
        <v>0</v>
      </c>
      <c r="G23">
        <v>1144.71</v>
      </c>
      <c r="H23">
        <v>86.25</v>
      </c>
      <c r="I23" s="212"/>
      <c r="J23" s="276">
        <v>0</v>
      </c>
      <c r="K23">
        <v>83.71</v>
      </c>
      <c r="L23" s="213"/>
      <c r="M23" s="467">
        <f xml:space="preserve"> E23+F23+G23+H23</f>
        <v>1253.5900000000001</v>
      </c>
      <c r="N23" s="467" t="e">
        <f>IF($B$2="mil",1,0.0254)*C23+ M23</f>
        <v>#REF!</v>
      </c>
      <c r="O23" s="213"/>
      <c r="P23" s="469" t="e">
        <f>MAX($P$5:$Q$5)+IF($B$2="mil",1,0.0254)*DDR2Specs!$B$9</f>
        <v>#REF!</v>
      </c>
      <c r="Q23" s="469" t="e">
        <f>MIN($P$5:$Q$5)+IF($B$2="mil",1,0.0254)*DDR2Specs!$C$9</f>
        <v>#REF!</v>
      </c>
      <c r="R23" s="470" t="e">
        <f>IF($N23&lt;$P23,$P23-$N23,"Pass")</f>
        <v>#REF!</v>
      </c>
      <c r="S23" s="471" t="e">
        <f>IF($N23&gt;$Q23,$N23-$Q23,"Pass")</f>
        <v>#REF!</v>
      </c>
      <c r="T23" s="472" t="e">
        <f>IF($E23&lt;=IF($B$2="mil",1,0.0254)*50,"Pass",IF($B$2="mil",1,0.0254)*50-$E23)</f>
        <v>#REF!</v>
      </c>
      <c r="U23" s="473" t="e">
        <f>IF($F23&lt;=IF($B$2="mil",1,0.0254)*500,"Pass",IF($B$2="mil",1,0.0254)*500-$F23)</f>
        <v>#REF!</v>
      </c>
      <c r="V23" s="473" t="e">
        <f>IF($H23&lt;=IF($B$2="mil",1,0.0254)*200,"Pass",IF($B$2="mil",1,0.0254)*200-$H23)</f>
        <v>#REF!</v>
      </c>
      <c r="W23" s="473" t="e">
        <f>IF(AND($M23&gt;=IF($B$2="mil",1,0.0254)*500, $M23&lt;=IF($B$2="mil",1,0.0254)*4500),"Pass",IF($B$2="mil",1,0.0254)*4500-$M23)</f>
        <v>#REF!</v>
      </c>
      <c r="X23" s="473" t="e">
        <f>IF(AND($N23&gt;=IF($B$2="mil",1,0.0254)*500, $N23&lt;=IF($B$2="mil",1,0.0254)*5000),"Pass",IF($B$2="mil",1,0.0254)*5000-$N23)</f>
        <v>#REF!</v>
      </c>
      <c r="Y23" s="473" t="e">
        <f t="shared" si="9"/>
        <v>#REF!</v>
      </c>
      <c r="Z23" s="474" t="e">
        <f ca="1">CheckLength2(IF($B$2="mil",1,0.0254)*1500,J23,K23,0)</f>
        <v>#NAME?</v>
      </c>
      <c r="AA23" s="380"/>
      <c r="AB23" s="380"/>
      <c r="AC23" s="350"/>
      <c r="AD23" s="350"/>
      <c r="AE23" s="350"/>
      <c r="AF23" s="350"/>
      <c r="AG23" s="350"/>
      <c r="AH23" s="350"/>
      <c r="AI23" s="350"/>
      <c r="AJ23" s="350"/>
      <c r="AK23" s="350"/>
      <c r="AL23" s="350"/>
      <c r="AM23" s="350"/>
      <c r="AN23" s="350"/>
      <c r="AO23" s="350"/>
      <c r="AP23" s="350"/>
      <c r="AQ23" s="350"/>
      <c r="AR23" s="350"/>
      <c r="AS23" s="350"/>
      <c r="AT23" s="4" t="e">
        <f ca="1">IF(AND(R23="Pass",S23="Pass",T23="Pass",U23="Pass",V23="Pass",W23="Pass",X23="Pass",Y23="Pass",Z23="Pass"),"Pass","Fail")</f>
        <v>#REF!</v>
      </c>
    </row>
    <row r="24" spans="1:46" s="4" customFormat="1" x14ac:dyDescent="0.2">
      <c r="A24" s="215" t="s">
        <v>131</v>
      </c>
      <c r="B24" s="433" t="s">
        <v>400</v>
      </c>
      <c r="C24" s="562">
        <v>384.5275590551181</v>
      </c>
      <c r="D24" s="332"/>
      <c r="E24">
        <v>22.63</v>
      </c>
      <c r="F24">
        <v>0</v>
      </c>
      <c r="G24">
        <v>1573.22</v>
      </c>
      <c r="H24">
        <v>79.08</v>
      </c>
      <c r="I24" s="212"/>
      <c r="J24" s="276">
        <v>0</v>
      </c>
      <c r="K24">
        <v>106.14</v>
      </c>
      <c r="L24" s="213"/>
      <c r="M24" s="467">
        <f xml:space="preserve"> E24+F24+G24+H24</f>
        <v>1674.93</v>
      </c>
      <c r="N24" s="467" t="e">
        <f>IF($B$2="mil",1,0.0254)*C24+ M24</f>
        <v>#REF!</v>
      </c>
      <c r="O24" s="213"/>
      <c r="P24" s="469" t="e">
        <f>MAX($P$5:$Q$5)+IF($B$2="mil",1,0.0254)*DDR2Specs!$B$9</f>
        <v>#REF!</v>
      </c>
      <c r="Q24" s="469" t="e">
        <f>MIN($P$5:$Q$5)+IF($B$2="mil",1,0.0254)*DDR2Specs!$C$9</f>
        <v>#REF!</v>
      </c>
      <c r="R24" s="470" t="e">
        <f>IF($N24&lt;$P24,$P24-$N24,"Pass")</f>
        <v>#REF!</v>
      </c>
      <c r="S24" s="471" t="e">
        <f>IF($N24&gt;$Q24,$N24-$Q24,"Pass")</f>
        <v>#REF!</v>
      </c>
      <c r="T24" s="472" t="e">
        <f>IF($E24&lt;=IF($B$2="mil",1,0.0254)*50,"Pass",IF($B$2="mil",1,0.0254)*50-$E24)</f>
        <v>#REF!</v>
      </c>
      <c r="U24" s="473" t="e">
        <f>IF($F24&lt;=IF($B$2="mil",1,0.0254)*500,"Pass",IF($B$2="mil",1,0.0254)*500-$F24)</f>
        <v>#REF!</v>
      </c>
      <c r="V24" s="473" t="e">
        <f>IF($H24&lt;=IF($B$2="mil",1,0.0254)*200,"Pass",IF($B$2="mil",1,0.0254)*200-$H24)</f>
        <v>#REF!</v>
      </c>
      <c r="W24" s="473" t="e">
        <f>IF(AND($M24&gt;=IF($B$2="mil",1,0.0254)*500, $M24&lt;=IF($B$2="mil",1,0.0254)*4500),"Pass",IF($B$2="mil",1,0.0254)*4500-$M24)</f>
        <v>#REF!</v>
      </c>
      <c r="X24" s="473" t="e">
        <f>IF(AND($N24&gt;=IF($B$2="mil",1,0.0254)*500, $N24&lt;=IF($B$2="mil",1,0.0254)*5000),"Pass",IF($B$2="mil",1,0.0254)*5000-$N24)</f>
        <v>#REF!</v>
      </c>
      <c r="Y24" s="473" t="e">
        <f t="shared" si="9"/>
        <v>#REF!</v>
      </c>
      <c r="Z24" s="474" t="e">
        <f ca="1">CheckLength2(IF($B$2="mil",1,0.0254)*1500,J24,K24,0)</f>
        <v>#NAME?</v>
      </c>
      <c r="AA24" s="380"/>
      <c r="AB24" s="380"/>
      <c r="AC24" s="350"/>
      <c r="AD24" s="350"/>
      <c r="AE24" s="350"/>
      <c r="AF24" s="350"/>
      <c r="AG24" s="350"/>
      <c r="AH24" s="350"/>
      <c r="AI24" s="350"/>
      <c r="AJ24" s="350"/>
      <c r="AK24" s="350"/>
      <c r="AL24" s="350"/>
      <c r="AM24" s="350"/>
      <c r="AN24" s="350"/>
      <c r="AO24" s="350"/>
      <c r="AP24" s="350"/>
      <c r="AQ24" s="350"/>
      <c r="AR24" s="350"/>
      <c r="AS24" s="350"/>
      <c r="AT24" s="4" t="e">
        <f ca="1">IF(AND(R24="Pass",S24="Pass",T24="Pass",U24="Pass",V24="Pass",W24="Pass",X24="Pass",Y24="Pass",Z24="Pass"),"Pass","Fail")</f>
        <v>#REF!</v>
      </c>
    </row>
    <row r="25" spans="1:46" s="218" customFormat="1" ht="11.25" x14ac:dyDescent="0.2">
      <c r="A25" s="415" t="s">
        <v>288</v>
      </c>
      <c r="B25" s="134"/>
      <c r="C25" s="567"/>
      <c r="D25" s="134"/>
      <c r="E25" s="134"/>
      <c r="F25" s="134"/>
      <c r="G25" s="134"/>
      <c r="H25" s="134"/>
      <c r="I25" s="134"/>
      <c r="J25" s="134"/>
      <c r="K25" s="134"/>
      <c r="L25" s="134"/>
      <c r="M25" s="134"/>
      <c r="N25" s="250"/>
      <c r="O25" s="134"/>
      <c r="P25" s="134"/>
      <c r="Q25" s="134"/>
      <c r="R25" s="250"/>
      <c r="S25" s="250"/>
      <c r="T25" s="134"/>
      <c r="U25" s="134"/>
      <c r="V25" s="386"/>
      <c r="W25" s="134"/>
      <c r="X25" s="134"/>
      <c r="Y25" s="155"/>
      <c r="Z25" s="155"/>
    </row>
    <row r="26" spans="1:46" s="4" customFormat="1" x14ac:dyDescent="0.2">
      <c r="A26" s="161" t="s">
        <v>132</v>
      </c>
      <c r="B26" s="433" t="s">
        <v>493</v>
      </c>
      <c r="C26" s="562">
        <v>462.71653543307087</v>
      </c>
      <c r="D26" s="332"/>
      <c r="E26">
        <v>22.63</v>
      </c>
      <c r="F26">
        <v>0</v>
      </c>
      <c r="G26">
        <v>1111.77</v>
      </c>
      <c r="H26">
        <v>130.66999999999999</v>
      </c>
      <c r="I26" s="212"/>
      <c r="J26" s="276">
        <v>0</v>
      </c>
      <c r="K26">
        <v>32.5</v>
      </c>
      <c r="L26" s="213"/>
      <c r="M26" s="467">
        <f xml:space="preserve"> E26+F26+G26+H26</f>
        <v>1265.0700000000002</v>
      </c>
      <c r="N26" s="467" t="e">
        <f>IF($B$2="mil",1,0.0254)*C26+ M26</f>
        <v>#REF!</v>
      </c>
      <c r="O26" s="213"/>
      <c r="P26" s="469" t="e">
        <f>MAX($P$5:$Q$5)+IF($B$2="mil",1,0.0254)*DDR2Specs!$B$9</f>
        <v>#REF!</v>
      </c>
      <c r="Q26" s="469" t="e">
        <f>MIN($P$5:$Q$5)+IF($B$2="mil",1,0.0254)*DDR2Specs!$C$9</f>
        <v>#REF!</v>
      </c>
      <c r="R26" s="470" t="e">
        <f>IF($N26&lt;$P26,$P26-$N26,"Pass")</f>
        <v>#REF!</v>
      </c>
      <c r="S26" s="471" t="e">
        <f>IF($N26&gt;$Q26,$N26-$Q26,"Pass")</f>
        <v>#REF!</v>
      </c>
      <c r="T26" s="472" t="e">
        <f>IF($E26&lt;=IF($B$2="mil",1,0.0254)*50,"Pass",IF($B$2="mil",1,0.0254)*50-$E26)</f>
        <v>#REF!</v>
      </c>
      <c r="U26" s="473" t="e">
        <f>IF($F26&lt;=IF($B$2="mil",1,0.0254)*500,"Pass",IF($B$2="mil",1,0.0254)*500-$F26)</f>
        <v>#REF!</v>
      </c>
      <c r="V26" s="473" t="e">
        <f>IF($H26&lt;=IF($B$2="mil",1,0.0254)*500,"Pass",IF($B$2="mil",1,0.0254)*500-$H26)</f>
        <v>#REF!</v>
      </c>
      <c r="W26" s="473" t="e">
        <f>IF(AND($M26&gt;=IF($B$2="mil",1,0.0254)*500, $M26&lt;=IF($B$2="mil",1,0.0254)*4500),"Pass",IF($B$2="mil",1,0.0254)*4500-$M26)</f>
        <v>#REF!</v>
      </c>
      <c r="X26" s="473" t="e">
        <f>IF(AND($N26&gt;=IF($B$2="mil",1,0.0254)*500, $N26&lt;=IF($B$2="mil",1,0.0254)*5000),"Pass",IF($B$2="mil",1,0.0254)*5000-$N26)</f>
        <v>#REF!</v>
      </c>
      <c r="Y26" s="473" t="e">
        <f t="shared" si="9"/>
        <v>#REF!</v>
      </c>
      <c r="Z26" s="474" t="e">
        <f ca="1">CheckLength2(IF($B$2="mil",1,0.0254)*1500,J26,K26,0)</f>
        <v>#NAME?</v>
      </c>
      <c r="AA26" s="380"/>
      <c r="AB26" s="380"/>
      <c r="AC26" s="350"/>
      <c r="AD26" s="350"/>
      <c r="AE26" s="350"/>
      <c r="AF26" s="350"/>
      <c r="AG26" s="350"/>
      <c r="AH26" s="350"/>
      <c r="AI26" s="350"/>
      <c r="AJ26" s="350"/>
      <c r="AK26" s="350"/>
      <c r="AL26" s="350"/>
      <c r="AM26" s="350"/>
      <c r="AN26" s="350"/>
      <c r="AO26" s="350"/>
      <c r="AP26" s="350"/>
      <c r="AQ26" s="350"/>
      <c r="AR26" s="350"/>
      <c r="AS26" s="350"/>
      <c r="AT26" s="4" t="e">
        <f ca="1">IF(AND(R26="Pass",S26="Pass",T26="Pass",U26="Pass",V26="Pass",W26="Pass",X26="Pass",Y26="Pass",Z26="Pass"),"Pass","Fail")</f>
        <v>#REF!</v>
      </c>
    </row>
    <row r="27" spans="1:46" s="4" customFormat="1" x14ac:dyDescent="0.2">
      <c r="A27" s="214" t="s">
        <v>134</v>
      </c>
      <c r="B27" s="433" t="s">
        <v>373</v>
      </c>
      <c r="C27" s="562">
        <v>452.16535433070862</v>
      </c>
      <c r="D27" s="332"/>
      <c r="E27">
        <v>22.63</v>
      </c>
      <c r="F27" s="165">
        <v>0</v>
      </c>
      <c r="G27">
        <v>1442.95</v>
      </c>
      <c r="H27">
        <v>69.319999999999993</v>
      </c>
      <c r="I27" s="212"/>
      <c r="J27" s="276">
        <v>0</v>
      </c>
      <c r="K27">
        <v>93.16</v>
      </c>
      <c r="L27" s="213"/>
      <c r="M27" s="467">
        <f xml:space="preserve"> E27+F27+G27+H27</f>
        <v>1534.9</v>
      </c>
      <c r="N27" s="467" t="e">
        <f>IF($B$2="mil",1,0.0254)*C27+ M27</f>
        <v>#REF!</v>
      </c>
      <c r="O27" s="213"/>
      <c r="P27" s="469" t="e">
        <f>MAX($P$5:$Q$5)+IF($B$2="mil",1,0.0254)*DDR2Specs!$B$9</f>
        <v>#REF!</v>
      </c>
      <c r="Q27" s="469" t="e">
        <f>MIN($P$5:$Q$5)+IF($B$2="mil",1,0.0254)*DDR2Specs!$C$9</f>
        <v>#REF!</v>
      </c>
      <c r="R27" s="470" t="e">
        <f>IF($N27&lt;$P27,$P27-$N27,"Pass")</f>
        <v>#REF!</v>
      </c>
      <c r="S27" s="471" t="e">
        <f>IF($N27&gt;$Q27,$N27-$Q27,"Pass")</f>
        <v>#REF!</v>
      </c>
      <c r="T27" s="472" t="e">
        <f>IF($E27&lt;=IF($B$2="mil",1,0.0254)*50,"Pass",IF($B$2="mil",1,0.0254)*50-$E27)</f>
        <v>#REF!</v>
      </c>
      <c r="U27" s="473" t="e">
        <f>IF($F27&lt;=IF($B$2="mil",1,0.0254)*500,"Pass",IF($B$2="mil",1,0.0254)*500-$F27)</f>
        <v>#REF!</v>
      </c>
      <c r="V27" s="473" t="e">
        <f>IF($H27&lt;=IF($B$2="mil",1,0.0254)*500,"Pass",IF($B$2="mil",1,0.0254)*500-$H27)</f>
        <v>#REF!</v>
      </c>
      <c r="W27" s="473" t="e">
        <f>IF(AND($M27&gt;=IF($B$2="mil",1,0.0254)*500, $M27&lt;=IF($B$2="mil",1,0.0254)*4500),"Pass",IF($B$2="mil",1,0.0254)*4500-$M27)</f>
        <v>#REF!</v>
      </c>
      <c r="X27" s="473" t="e">
        <f>IF(AND($N27&gt;=IF($B$2="mil",1,0.0254)*500, $N27&lt;=IF($B$2="mil",1,0.0254)*5000),"Pass",IF($B$2="mil",1,0.0254)*5000-$N27)</f>
        <v>#REF!</v>
      </c>
      <c r="Y27" s="473" t="e">
        <f t="shared" si="9"/>
        <v>#REF!</v>
      </c>
      <c r="Z27" s="474" t="e">
        <f ca="1">CheckLength2(IF($B$2="mil",1,0.0254)*1500,J27,K27,0)</f>
        <v>#NAME?</v>
      </c>
      <c r="AA27" s="380"/>
      <c r="AB27" s="380"/>
      <c r="AC27" s="350"/>
      <c r="AD27" s="350"/>
      <c r="AE27" s="350"/>
      <c r="AF27" s="350"/>
      <c r="AG27" s="350"/>
      <c r="AH27" s="350"/>
      <c r="AI27" s="350"/>
      <c r="AJ27" s="350"/>
      <c r="AK27" s="350"/>
      <c r="AL27" s="350"/>
      <c r="AM27" s="350"/>
      <c r="AN27" s="350"/>
      <c r="AO27" s="350"/>
      <c r="AP27" s="350"/>
      <c r="AQ27" s="350"/>
      <c r="AR27" s="350"/>
      <c r="AS27" s="350"/>
      <c r="AT27" s="4" t="e">
        <f ca="1">IF(AND(R27="Pass",S27="Pass",T27="Pass",U27="Pass",V27="Pass",W27="Pass",X27="Pass",Y27="Pass",Z27="Pass"),"Pass","Fail")</f>
        <v>#REF!</v>
      </c>
    </row>
    <row r="28" spans="1:46" s="4" customFormat="1" x14ac:dyDescent="0.2">
      <c r="A28" s="214" t="s">
        <v>136</v>
      </c>
      <c r="B28" s="433" t="s">
        <v>125</v>
      </c>
      <c r="C28" s="562">
        <v>581.1811023622048</v>
      </c>
      <c r="D28" s="332"/>
      <c r="E28">
        <v>22.63</v>
      </c>
      <c r="F28" s="165">
        <v>0</v>
      </c>
      <c r="G28">
        <v>1483.19</v>
      </c>
      <c r="H28">
        <v>122.96</v>
      </c>
      <c r="I28" s="212"/>
      <c r="J28" s="276">
        <v>0</v>
      </c>
      <c r="K28">
        <v>42.5</v>
      </c>
      <c r="L28" s="213"/>
      <c r="M28" s="467">
        <f xml:space="preserve"> E28+F28+G28+H28</f>
        <v>1628.7800000000002</v>
      </c>
      <c r="N28" s="467" t="e">
        <f>IF($B$2="mil",1,0.0254)*C28+ M28</f>
        <v>#REF!</v>
      </c>
      <c r="O28" s="213"/>
      <c r="P28" s="479" t="e">
        <f>MAX($P$5:$Q$5)+IF($B$2="mil",1,0.0254)*DDR2Specs!$B$9</f>
        <v>#REF!</v>
      </c>
      <c r="Q28" s="479" t="e">
        <f>MIN($P$5:$Q$5)+IF($B$2="mil",1,0.0254)*DDR2Specs!$C$9</f>
        <v>#REF!</v>
      </c>
      <c r="R28" s="470" t="e">
        <f>IF($N28&lt;$P28,$P28-$N28,"Pass")</f>
        <v>#REF!</v>
      </c>
      <c r="S28" s="471" t="e">
        <f>IF($N28&gt;$Q28,$N28-$Q28,"Pass")</f>
        <v>#REF!</v>
      </c>
      <c r="T28" s="472" t="e">
        <f>IF($E28&lt;=IF($B$2="mil",1,0.0254)*50,"Pass",IF($B$2="mil",1,0.0254)*50-$E28)</f>
        <v>#REF!</v>
      </c>
      <c r="U28" s="473" t="e">
        <f>IF($F28&lt;=IF($B$2="mil",1,0.0254)*500,"Pass",IF($B$2="mil",1,0.0254)*500-$F28)</f>
        <v>#REF!</v>
      </c>
      <c r="V28" s="473" t="e">
        <f>IF($H28&lt;=IF($B$2="mil",1,0.0254)*500,"Pass",IF($B$2="mil",1,0.0254)*500-$H28)</f>
        <v>#REF!</v>
      </c>
      <c r="W28" s="480" t="e">
        <f>IF(AND($M28&gt;=IF($B$2="mil",1,0.0254)*500, $M28&lt;=IF($B$2="mil",1,0.0254)*4500),"Pass",IF($B$2="mil",1,0.0254)*4500-$M28)</f>
        <v>#REF!</v>
      </c>
      <c r="X28" s="473" t="e">
        <f>IF(AND($N28&gt;=IF($B$2="mil",1,0.0254)*500, $N28&lt;=IF($B$2="mil",1,0.0254)*5000),"Pass",IF($B$2="mil",1,0.0254)*5000-$N28)</f>
        <v>#REF!</v>
      </c>
      <c r="Y28" s="473" t="e">
        <f t="shared" si="9"/>
        <v>#REF!</v>
      </c>
      <c r="Z28" s="474" t="e">
        <f ca="1">CheckLength2(IF($B$2="mil",1,0.0254)*1500,J28,K28,0)</f>
        <v>#NAME?</v>
      </c>
      <c r="AA28" s="380"/>
      <c r="AB28" s="380"/>
      <c r="AC28" s="350"/>
      <c r="AD28" s="350"/>
      <c r="AE28" s="350"/>
      <c r="AF28" s="350"/>
      <c r="AG28" s="350"/>
      <c r="AH28" s="350"/>
      <c r="AI28" s="350"/>
      <c r="AJ28" s="350"/>
      <c r="AK28" s="350"/>
      <c r="AL28" s="350"/>
      <c r="AM28" s="350"/>
      <c r="AN28" s="350"/>
      <c r="AO28" s="350"/>
      <c r="AP28" s="350"/>
      <c r="AQ28" s="350"/>
      <c r="AR28" s="350"/>
      <c r="AS28" s="350"/>
      <c r="AT28" s="4" t="e">
        <f ca="1">IF(AND(R28="Pass",S28="Pass",T28="Pass",U28="Pass",V28="Pass",W28="Pass",X28="Pass",Y28="Pass",Z28="Pass"),"Pass","Fail")</f>
        <v>#REF!</v>
      </c>
    </row>
    <row r="29" spans="1:46" s="2" customFormat="1" x14ac:dyDescent="0.2">
      <c r="A29" s="46"/>
      <c r="B29" s="46"/>
      <c r="C29" s="569"/>
      <c r="D29" s="46"/>
      <c r="E29" s="46"/>
      <c r="F29" s="47"/>
      <c r="G29" s="46"/>
      <c r="H29" s="46"/>
      <c r="I29" s="46"/>
      <c r="J29" s="46"/>
      <c r="K29" s="46"/>
      <c r="L29" s="46"/>
      <c r="M29" s="46"/>
      <c r="N29" s="46"/>
      <c r="O29" s="105"/>
      <c r="P29" s="105"/>
      <c r="Q29" s="105"/>
      <c r="R29" s="105"/>
      <c r="S29" s="105"/>
      <c r="T29" s="105"/>
      <c r="U29" s="106"/>
      <c r="V29" s="106"/>
      <c r="W29" s="396"/>
      <c r="X29" s="105"/>
      <c r="Y29" s="105"/>
      <c r="Z29" s="279"/>
    </row>
    <row r="30" spans="1:46" s="133" customFormat="1" ht="22.5" x14ac:dyDescent="0.2">
      <c r="A30" s="192" t="s">
        <v>494</v>
      </c>
      <c r="B30" s="123" t="s">
        <v>457</v>
      </c>
      <c r="C30" s="570" t="s">
        <v>70</v>
      </c>
      <c r="D30" s="130"/>
      <c r="E30" s="127" t="e">
        <f>"Escape
Length L0
 ["&amp;$B$2&amp;"]"</f>
        <v>#REF!</v>
      </c>
      <c r="F30" s="127" t="e">
        <f>"Breakout
Length L1
["&amp; $B$2&amp;"]"</f>
        <v>#REF!</v>
      </c>
      <c r="G30" s="127" t="e">
        <f>"Main
Length L2
[" &amp;$B$2&amp; " ]"</f>
        <v>#REF!</v>
      </c>
      <c r="H30" s="127"/>
      <c r="I30" s="129"/>
      <c r="J30" s="129" t="e">
        <f>"Via-to-via (SODIMM-to-Rt) L3 ["&amp;$B$2&amp;"]"</f>
        <v>#REF!</v>
      </c>
      <c r="K30" s="123" t="e">
        <f>"Via-to-Rt
L4 ["&amp;$B$2&amp;"]"</f>
        <v>#REF!</v>
      </c>
      <c r="L30" s="129"/>
      <c r="M30" s="123" t="e">
        <f>"Trace L5 ["&amp;$B$2&amp;"]"</f>
        <v>#REF!</v>
      </c>
      <c r="N30" s="123" t="e">
        <f>"Trace L6-1 ["&amp;$B$2&amp;"]"</f>
        <v>#REF!</v>
      </c>
      <c r="O30" s="130"/>
      <c r="P30" s="123" t="e">
        <f>"Trace L7-1 ["&amp;$B$2&amp;"]"</f>
        <v>#REF!</v>
      </c>
      <c r="Q30" s="123" t="e">
        <f>"Trace L8-1 to U1 ["&amp;$B$2&amp;"]"</f>
        <v>#REF!</v>
      </c>
      <c r="R30" s="123" t="e">
        <f>"Trace L8-2 to U5 ["&amp;$B$2&amp;"]"</f>
        <v>#REF!</v>
      </c>
      <c r="S30" s="123" t="e">
        <f>"Total MB Length to U1 (L0+L1+L2+L5+L6-1+L7-1+L8-1) ["&amp;$B$2&amp;"]"</f>
        <v>#REF!</v>
      </c>
      <c r="T30" s="123" t="e">
        <f>"Total Pad to Pin U1 (P1+L0+L1+L2+L5+L6-1+L7-1+L8-1) ["&amp;$B$2&amp;"]"</f>
        <v>#REF!</v>
      </c>
      <c r="U30" s="130" t="e">
        <f>"Target Min Length to U1
["&amp;$B$2&amp;"]"</f>
        <v>#REF!</v>
      </c>
      <c r="V30" s="129" t="e">
        <f>"Target Max Length  to U1 
["&amp;$B$2&amp;"]"</f>
        <v>#REF!</v>
      </c>
      <c r="W30" s="131" t="e">
        <f>"Routed Too Short  to U1 [" &amp;$B$2&amp;"]"</f>
        <v>#REF!</v>
      </c>
      <c r="X30" s="130" t="e">
        <f>"Routed Too Long  to U1 [" &amp;$B$2&amp;"]"</f>
        <v>#REF!</v>
      </c>
      <c r="Y30" s="123" t="e">
        <f>"Total MB Length to U5 (L0+L1+L2+L5+L6-1+L7-1+L8-2) ["&amp;$B$2&amp;"]"</f>
        <v>#REF!</v>
      </c>
      <c r="Z30" s="123" t="e">
        <f>"Total Pad to Pin U5 (P1+L0+L1+L2+L5+L6-1+L7-1+L8-2) ["&amp;$B$2&amp;"]"</f>
        <v>#REF!</v>
      </c>
      <c r="AA30" s="130" t="e">
        <f>"Target Min Length to U5
["&amp;$B$2&amp;"]"</f>
        <v>#REF!</v>
      </c>
      <c r="AB30" s="129" t="e">
        <f>"Target Max Length  to U5 
["&amp;$B$2&amp;"]"</f>
        <v>#REF!</v>
      </c>
      <c r="AC30" s="131" t="e">
        <f>"Routed Too Short  to U5 [" &amp;$B$2&amp;"]"</f>
        <v>#REF!</v>
      </c>
      <c r="AD30" s="130" t="e">
        <f>"Routed Too Long  to U5 [" &amp;$B$2&amp;"]"</f>
        <v>#REF!</v>
      </c>
      <c r="AE30" s="132" t="e">
        <f>"L0 Length Test (&lt;=" &amp; IF($B$2="mil",1,0.0254)*50&amp;$B$2&amp;")"</f>
        <v>#REF!</v>
      </c>
      <c r="AF30" s="132" t="e">
        <f>"L1 Length Test (&lt;=" &amp; IF($B$2="mil",1,0.0254)*500&amp;$B$2&amp;")"</f>
        <v>#REF!</v>
      </c>
      <c r="AG30" s="132" t="e">
        <f>"L3 Length Test (&lt;=" &amp; IF($B$2="mil",1,0.0254)*1000&amp;$B$2&amp;")"</f>
        <v>#REF!</v>
      </c>
      <c r="AH30" s="132" t="e">
        <f>"L4 Length Test (&lt;=" &amp; IF($B$2="mil",1,0.0254)*200&amp;$B$2&amp;") or (L3+L4&lt;= "&amp;IF($B$2="mil",1,0.0254)*1200&amp;$B$2&amp;")"</f>
        <v>#REF!</v>
      </c>
      <c r="AI30" s="132" t="e">
        <f>"L5 Length Test (&lt;=" &amp; IF($B$2="mil",1,0.0254)*2000&amp;$B$2&amp;")"</f>
        <v>#REF!</v>
      </c>
      <c r="AJ30" s="132" t="e">
        <f>"L6-1 Length Test (&lt;=" &amp; IF($B$2="mil",1,0.0254)*1000&amp;$B$2&amp;")"</f>
        <v>#REF!</v>
      </c>
      <c r="AK30" s="132" t="s">
        <v>435</v>
      </c>
      <c r="AL30" s="132" t="e">
        <f>"L7-1 Length Test (&lt;=" &amp; IF($B$2="mil",1,0.0254)*1000&amp;$B$2&amp;")"</f>
        <v>#REF!</v>
      </c>
      <c r="AM30" s="132" t="e">
        <f>"Diff L7-1 &amp; L7-2 (&lt;="&amp;IF($B$2="mil",1,0.0254)*50&amp;$B$2&amp;")"</f>
        <v>#REF!</v>
      </c>
      <c r="AN30" s="132" t="e">
        <f>"L8-1 Length Test (&lt;=" &amp; IF($B$2="mil",1,0.0254)*200&amp;$B$2&amp;") or (L7-1+L8-1&lt;= "&amp;IF($B$2="mil",1,0.0254)*1200&amp;$B$2&amp;")"</f>
        <v>#REF!</v>
      </c>
      <c r="AO30" s="132" t="e">
        <f>"L8-2 Length Test (&lt;=" &amp; IF($B$2="mil",1,0.0254)*200&amp;$B$2&amp;") or (L7-1+L8-2&lt;= "&amp;IF($B$2="mil",1,0.0254)*1200&amp;$B$2&amp;")"</f>
        <v>#REF!</v>
      </c>
      <c r="AP30" s="129" t="e">
        <f>"Total Length to U1 (L0+L1+L2+L5+L6-1+L7-1+L8-1) Test
 ("&amp;IF($B$2="mil",1,0.0254)*500&amp;"-"&amp;IF($B$2="mil",1,0.0254)*6500&amp;IF($B$2="mil","mil","mm")&amp;")"</f>
        <v>#REF!</v>
      </c>
      <c r="AQ30" s="129" t="e">
        <f>"Total Length to U1 (P1+L0+L1+L2+L5+L6-1+L7-1+L8-1) Test
 (&lt;="&amp;IF($B$2="mil",1,25.4)*7000&amp;IF($B$2="mil","mil","mm")&amp;")"</f>
        <v>#REF!</v>
      </c>
      <c r="AR30" s="132" t="e">
        <f>"Total Length to U5 (L0+L1+L2+L5+L6-1+L7-1+L8-2) Test
 ("&amp;IF($B$2="mil",1,0.0254)*500&amp;"-"&amp;IF($B$2="mil",1,0.0254)*6500&amp;IF($B$2="mil","mil","mm")&amp;")"</f>
        <v>#REF!</v>
      </c>
      <c r="AS30" s="129" t="e">
        <f>"Total Length to U5(P1+L0+L1+L2+L5+L6-1+L7-1+L8-2) Test
 (&lt;="&amp;IF($B$2="mil",1,25.4)*7000&amp;IF($B$2="mil","mil","mm")&amp;")"</f>
        <v>#REF!</v>
      </c>
      <c r="AT30" s="4"/>
    </row>
    <row r="31" spans="1:46" s="4" customFormat="1" ht="11.25" x14ac:dyDescent="0.2">
      <c r="A31" s="134" t="s">
        <v>258</v>
      </c>
      <c r="B31" s="134"/>
      <c r="C31" s="566"/>
      <c r="D31" s="135"/>
      <c r="E31" s="135"/>
      <c r="F31" s="194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95"/>
      <c r="T31" s="195"/>
      <c r="U31" s="195"/>
      <c r="V31" s="187"/>
      <c r="W31" s="195"/>
      <c r="X31" s="195"/>
      <c r="Y31" s="195"/>
      <c r="Z31" s="195"/>
      <c r="AA31" s="195"/>
      <c r="AB31" s="195"/>
      <c r="AC31" s="195"/>
      <c r="AD31" s="195"/>
      <c r="AE31" s="187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310"/>
    </row>
    <row r="32" spans="1:46" s="4" customFormat="1" ht="11.25" x14ac:dyDescent="0.2">
      <c r="A32" s="235" t="s">
        <v>262</v>
      </c>
      <c r="B32" s="141"/>
      <c r="C32" s="568"/>
      <c r="D32" s="142"/>
      <c r="E32" s="143"/>
      <c r="F32" s="196"/>
      <c r="G32" s="143"/>
      <c r="H32" s="143"/>
      <c r="I32" s="144"/>
      <c r="J32" s="144"/>
      <c r="K32" s="143"/>
      <c r="L32" s="144"/>
      <c r="M32" s="143"/>
      <c r="N32" s="143"/>
      <c r="O32" s="147"/>
      <c r="P32" s="143"/>
      <c r="Q32" s="143"/>
      <c r="R32" s="143"/>
      <c r="S32" s="143"/>
      <c r="T32" s="502" t="s">
        <v>272</v>
      </c>
      <c r="U32" s="487" t="e">
        <f>MIN('DDR2 Clocks - 4L'!$O$5:$O$6)</f>
        <v>#REF!</v>
      </c>
      <c r="V32" s="484" t="e">
        <f>MAX('DDR2 Clocks - 4L'!$O$5:$O$6)</f>
        <v>#REF!</v>
      </c>
      <c r="W32" s="487"/>
      <c r="X32" s="145"/>
      <c r="Y32" s="488"/>
      <c r="Z32" s="502" t="s">
        <v>332</v>
      </c>
      <c r="AA32" s="487" t="e">
        <f>MIN('DDR2 Clocks - 4L'!$O$7:$O$8)</f>
        <v>#REF!</v>
      </c>
      <c r="AB32" s="486" t="e">
        <f>MAX('DDR2 Clocks - 4L'!$O$7:$O$8)</f>
        <v>#REF!</v>
      </c>
      <c r="AC32" s="488"/>
      <c r="AD32" s="488"/>
      <c r="AE32" s="488"/>
      <c r="AF32" s="488"/>
      <c r="AG32" s="483"/>
      <c r="AH32" s="483"/>
      <c r="AI32" s="483"/>
      <c r="AJ32" s="483"/>
      <c r="AK32" s="483"/>
      <c r="AL32" s="483"/>
      <c r="AM32" s="483"/>
      <c r="AN32" s="483"/>
      <c r="AO32" s="483"/>
      <c r="AP32" s="483"/>
      <c r="AQ32" s="483"/>
      <c r="AR32" s="483"/>
      <c r="AS32" s="484"/>
    </row>
    <row r="33" spans="1:47" s="4" customFormat="1" ht="11.25" x14ac:dyDescent="0.2">
      <c r="A33" s="180" t="s">
        <v>277</v>
      </c>
      <c r="B33" s="134"/>
      <c r="C33" s="566"/>
      <c r="D33" s="155"/>
      <c r="E33" s="156"/>
      <c r="F33" s="198"/>
      <c r="G33" s="156"/>
      <c r="H33" s="156"/>
      <c r="I33" s="156"/>
      <c r="J33" s="157"/>
      <c r="K33" s="157"/>
      <c r="L33" s="156"/>
      <c r="M33" s="157"/>
      <c r="N33" s="157"/>
      <c r="O33" s="159"/>
      <c r="P33" s="157"/>
      <c r="Q33" s="157"/>
      <c r="R33" s="157"/>
      <c r="S33" s="157"/>
      <c r="T33" s="244"/>
      <c r="U33" s="155"/>
      <c r="V33" s="514"/>
      <c r="W33" s="476"/>
      <c r="X33" s="155"/>
      <c r="Y33" s="155"/>
      <c r="Z33" s="155"/>
      <c r="AA33" s="155"/>
      <c r="AB33" s="155"/>
      <c r="AC33" s="155"/>
      <c r="AD33" s="155"/>
      <c r="AE33" s="385"/>
      <c r="AF33" s="155"/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5"/>
      <c r="AS33" s="244"/>
    </row>
    <row r="34" spans="1:47" s="4" customFormat="1" x14ac:dyDescent="0.2">
      <c r="A34" s="161" t="s">
        <v>244</v>
      </c>
      <c r="B34" s="433" t="s">
        <v>129</v>
      </c>
      <c r="C34" s="562">
        <v>378.93700787401576</v>
      </c>
      <c r="D34" s="164"/>
      <c r="E34">
        <v>22.63</v>
      </c>
      <c r="F34">
        <v>0</v>
      </c>
      <c r="G34">
        <v>2304.44</v>
      </c>
      <c r="H34" s="293"/>
      <c r="I34" s="295"/>
      <c r="J34" s="294">
        <v>0</v>
      </c>
      <c r="K34">
        <v>86.64</v>
      </c>
      <c r="L34" s="296"/>
      <c r="M34" s="551">
        <v>1426.3</v>
      </c>
      <c r="N34" s="551">
        <v>468.28</v>
      </c>
      <c r="O34" s="170"/>
      <c r="P34" s="551">
        <v>684.68</v>
      </c>
      <c r="Q34" s="551">
        <v>150.80000000000001</v>
      </c>
      <c r="R34" s="551">
        <v>178.91</v>
      </c>
      <c r="S34" s="490">
        <f>SUM($E34:$G34,$M34,$P34,$N34,$Q34)</f>
        <v>5057.13</v>
      </c>
      <c r="T34" s="469" t="e">
        <f>$S34+IF($B$2="mil",1,0.0254)*$C34</f>
        <v>#REF!</v>
      </c>
      <c r="U34" s="469" t="e">
        <f>$V$32 + IF($B$2="mil",1,0.0254)*DDR2Specs!$E$9</f>
        <v>#REF!</v>
      </c>
      <c r="V34" s="492" t="e">
        <f>$U$32 + IF($B$2="mil",1,0.0254)*DDR2Specs!$F$9</f>
        <v>#REF!</v>
      </c>
      <c r="W34" s="491" t="e">
        <f t="shared" ref="W34:W47" si="12">IF($T34&lt;$U34,$U34-$T34,"Pass")</f>
        <v>#REF!</v>
      </c>
      <c r="X34" s="492" t="e">
        <f t="shared" ref="X34:X47" si="13">IF($T34&gt;$V34,$T34-$V34,"Pass")</f>
        <v>#REF!</v>
      </c>
      <c r="Y34" s="490">
        <f>SUM($E34:$G34,$M34,$P34,$N34,$R34)</f>
        <v>5085.24</v>
      </c>
      <c r="Z34" s="469" t="e">
        <f>$Y34+IF($B$2="mil",1,0.0254)*$C34</f>
        <v>#REF!</v>
      </c>
      <c r="AA34" s="469" t="e">
        <f>$AB$32 + IF($B$2="mil",1,0.0254)*DDR2Specs!$E$9</f>
        <v>#REF!</v>
      </c>
      <c r="AB34" s="469" t="e">
        <f>$AA$32 + IF($B$2="mil",1,0.0254)*DDR2Specs!$F$9</f>
        <v>#REF!</v>
      </c>
      <c r="AC34" s="491" t="e">
        <f t="shared" ref="AC34:AC47" si="14">IF($Z34&lt;$AA34,$AA34-$Z34,"Pass")</f>
        <v>#REF!</v>
      </c>
      <c r="AD34" s="492" t="e">
        <f t="shared" ref="AD34:AD47" si="15">IF($Z34&gt;$AB34,$Z34-$AB34,"Pass")</f>
        <v>#REF!</v>
      </c>
      <c r="AE34" s="472" t="e">
        <f>IF($E34&lt;=IF($B$2="mil",1,0.0254)*50,"Pass",IF($B$2="mil",1,0.0254)*50-$E34)</f>
        <v>#REF!</v>
      </c>
      <c r="AF34" s="473" t="e">
        <f t="shared" ref="AF34:AF47" si="16">IF($F34&lt;=IF($B$2="mil",1,0.0254)*500,"Pass",IF($B$2="mil",1,0.0254)*500-$F34)</f>
        <v>#REF!</v>
      </c>
      <c r="AG34" s="473" t="e">
        <f t="shared" ref="AG34:AG47" si="17">IF($J34&lt;=IF($B$2="mil",1,0.0254)*1000,"Pass",IF($B$2="mil",1,0.0254)*1000-$J34)</f>
        <v>#REF!</v>
      </c>
      <c r="AH34" s="473" t="e">
        <f ca="1">CheckLength2(1200,J34,K34,0)</f>
        <v>#NAME?</v>
      </c>
      <c r="AI34" s="473" t="e">
        <f>IF(M34&lt;=IF($B$2="mil",1,0.0254)*2000,"Pass",IF($B$2="mil",1,0.0254)*2000-M34)</f>
        <v>#REF!</v>
      </c>
      <c r="AJ34" s="473" t="e">
        <f>IF(N34&lt;=IF($B$2="mil",1,0.0254)*1000,"Pass",IF($B$2="mil",1,0.0254)*1000-N34)</f>
        <v>#REF!</v>
      </c>
      <c r="AK34" s="473" t="e">
        <f t="shared" ref="AK34:AK47" si="18">IF(MAX(N34,P86)-MIN(N34,P86)&lt;=IF($B$2="mil",1,0.0254)*50,"Pass",MAX(N34,P86)-MIN(N34,P86)-IF($B$2="mil",1,0.0254)*50)</f>
        <v>#REF!</v>
      </c>
      <c r="AL34" s="473" t="e">
        <f>IF($P34&lt;=IF($B$2="mil",1,0.0254)*1000,"Pass",IF($B$2="mil",1,0.0254)*1000-$P34)</f>
        <v>#REF!</v>
      </c>
      <c r="AM34" s="473" t="e">
        <f t="shared" ref="AM34:AM47" si="19">IF(MAX(P34,P112)-MIN(P34,P112)&lt;=IF($B$2="mil",1,0.0254)*50,"Pass",MAX(P34,P112)-MIN(P34,P112)-IF($B$2="mil",1,0.0254)*50)</f>
        <v>#REF!</v>
      </c>
      <c r="AN34" s="473" t="e">
        <f ca="1">CheckLength2(IF($B$2="mil",1,0.0254)*1200,P34,Q34,0)</f>
        <v>#NAME?</v>
      </c>
      <c r="AO34" s="473" t="e">
        <f ca="1">CheckLength2(IF($B$2="mil",1,0.0254)*1200,P34,R34,0)</f>
        <v>#NAME?</v>
      </c>
      <c r="AP34" s="473" t="e">
        <f>IF(AND($S34&gt;=IF($B$2="mil",1,0.0254)*500, $S34&lt;=IF($B$2="mil",1,0.0254)*6500),"Pass",IF($B$2="mil",1,0.0254)*6500-$S34)</f>
        <v>#REF!</v>
      </c>
      <c r="AQ34" s="473" t="e">
        <f>IF(AND($T34&gt;=IF($B$2="mil",1,0.0254)*500, $T34&lt;=IF($B$2="mil",1,0.0254)*7000),"Pass",IF($B$2="mil",1,0.0254)*7000-$T34)</f>
        <v>#REF!</v>
      </c>
      <c r="AR34" s="473" t="e">
        <f>IF(AND($Y34&gt;=IF($B$2="mil",1,0.0254)*500, $Y34&lt;=IF($B$2="mil",1,0.0254)*6500),"Pass",IF($B$2="mil",1,0.0254)*6500-$Y34)</f>
        <v>#REF!</v>
      </c>
      <c r="AS34" s="474" t="e">
        <f>IF(AND($Z34&gt;=IF($B$2="mil",1,0.0254)*500, $Z34&lt;=IF($B$2="mil",1,0.0254)*7000),"Pass",IF($B$2="mil",1,0.0254)*7000-$Z34)</f>
        <v>#REF!</v>
      </c>
      <c r="AT34" s="4" t="e">
        <f ca="1">IF(AND(W34="Pass",X34="Pass",AE34="Pass",AF34="Pass",AG34="Pass",AH34="Pass",AI34="Pass",AJ34="Pass",AK34="Pass",AL34="Pass",AM34="Pass",AN34="Pass",AO34="Pass",AP34="Pass",AQ34="Pass",AR34="Pass",AS34="Pass"),"Pass","Fail")</f>
        <v>#REF!</v>
      </c>
      <c r="AU34" s="4" t="e">
        <f ca="1">IF(AND(AT46="Pass",AT47="Pass",AT49="Pass",AT50="Pass",AT51="Pass",AT53="Pass",AT54="Pass",AT55="Pass"),"Pass","Fail")</f>
        <v>#REF!</v>
      </c>
    </row>
    <row r="35" spans="1:47" s="4" customFormat="1" x14ac:dyDescent="0.2">
      <c r="A35" s="214" t="s">
        <v>87</v>
      </c>
      <c r="B35" s="433" t="s">
        <v>478</v>
      </c>
      <c r="C35" s="562">
        <v>526.1811023622048</v>
      </c>
      <c r="D35" s="164"/>
      <c r="E35">
        <v>22.63</v>
      </c>
      <c r="F35">
        <v>0</v>
      </c>
      <c r="G35">
        <v>2429.16</v>
      </c>
      <c r="H35" s="293"/>
      <c r="I35" s="295"/>
      <c r="J35" s="294">
        <v>0</v>
      </c>
      <c r="K35">
        <v>86.64</v>
      </c>
      <c r="L35" s="296"/>
      <c r="M35" s="551">
        <v>1103.53</v>
      </c>
      <c r="N35" s="551">
        <v>556.39</v>
      </c>
      <c r="O35" s="179"/>
      <c r="P35" s="551">
        <v>700.43</v>
      </c>
      <c r="Q35" s="551">
        <v>152.79</v>
      </c>
      <c r="R35" s="551">
        <v>86.16</v>
      </c>
      <c r="S35" s="490">
        <f t="shared" ref="S35:S55" si="20">SUM($E35:$G35,$M35,$P35,$N35,$Q35)</f>
        <v>4964.93</v>
      </c>
      <c r="T35" s="469" t="e">
        <f t="shared" ref="T35:T54" si="21">$S35+IF($B$2="mil",1,0.0254)*$C35</f>
        <v>#REF!</v>
      </c>
      <c r="U35" s="469" t="e">
        <f>$V$32 + IF($B$2="mil",1,0.0254)*DDR2Specs!$E$9</f>
        <v>#REF!</v>
      </c>
      <c r="V35" s="492" t="e">
        <f>$U$32 + IF($B$2="mil",1,0.0254)*DDR2Specs!$F$9</f>
        <v>#REF!</v>
      </c>
      <c r="W35" s="491" t="e">
        <f t="shared" si="12"/>
        <v>#REF!</v>
      </c>
      <c r="X35" s="492" t="e">
        <f t="shared" si="13"/>
        <v>#REF!</v>
      </c>
      <c r="Y35" s="490">
        <f t="shared" ref="Y35:Y55" si="22">SUM($E35:$G35,$M35,$P35,$N35,$R35)</f>
        <v>4898.3</v>
      </c>
      <c r="Z35" s="469" t="e">
        <f t="shared" ref="Z35:Z54" si="23">$Y35+IF($B$2="mil",1,0.0254)*$C35</f>
        <v>#REF!</v>
      </c>
      <c r="AA35" s="469" t="e">
        <f>$AB$32 + IF($B$2="mil",1,0.0254)*DDR2Specs!$E$9</f>
        <v>#REF!</v>
      </c>
      <c r="AB35" s="469" t="e">
        <f>$AA$32 + IF($B$2="mil",1,0.0254)*DDR2Specs!$F$9</f>
        <v>#REF!</v>
      </c>
      <c r="AC35" s="491" t="e">
        <f t="shared" si="14"/>
        <v>#REF!</v>
      </c>
      <c r="AD35" s="492" t="e">
        <f t="shared" si="15"/>
        <v>#REF!</v>
      </c>
      <c r="AE35" s="472" t="e">
        <f t="shared" ref="AE35:AE47" si="24">IF($E35&lt;=IF($B$2="mil",1,0.0254)*50,"Pass",IF($B$2="mil",1,0.0254)*50-$E35)</f>
        <v>#REF!</v>
      </c>
      <c r="AF35" s="473" t="e">
        <f t="shared" si="16"/>
        <v>#REF!</v>
      </c>
      <c r="AG35" s="473" t="e">
        <f t="shared" si="17"/>
        <v>#REF!</v>
      </c>
      <c r="AH35" s="473" t="e">
        <f t="shared" ref="AH35:AH47" ca="1" si="25">CheckLength2(1200,J35,K35,0)</f>
        <v>#NAME?</v>
      </c>
      <c r="AI35" s="473" t="e">
        <f t="shared" ref="AI35:AI47" si="26">IF(M35&lt;=IF($B$2="mil",1,0.0254)*2000,"Pass",IF($B$2="mil",1,0.0254)*2000-M35)</f>
        <v>#REF!</v>
      </c>
      <c r="AJ35" s="473" t="e">
        <f t="shared" ref="AJ35:AJ47" si="27">IF(N35&lt;=IF($B$2="mil",1,0.0254)*1000,"Pass",IF($B$2="mil",1,0.0254)*1000-N35)</f>
        <v>#REF!</v>
      </c>
      <c r="AK35" s="473" t="e">
        <f t="shared" si="18"/>
        <v>#REF!</v>
      </c>
      <c r="AL35" s="473" t="e">
        <f t="shared" ref="AL35:AL47" si="28">IF($P35&lt;=IF($B$2="mil",1,0.0254)*1000,"Pass",IF($B$2="mil",1,0.0254)*1000-$P35)</f>
        <v>#REF!</v>
      </c>
      <c r="AM35" s="473" t="e">
        <f t="shared" si="19"/>
        <v>#REF!</v>
      </c>
      <c r="AN35" s="473" t="e">
        <f t="shared" ref="AN35:AN47" ca="1" si="29">CheckLength2(IF($B$2="mil",1,0.0254)*1200,P35,Q35,0)</f>
        <v>#NAME?</v>
      </c>
      <c r="AO35" s="473" t="e">
        <f t="shared" ref="AO35:AO47" ca="1" si="30">CheckLength2(IF($B$2="mil",1,0.0254)*1200,P35,R35,0)</f>
        <v>#NAME?</v>
      </c>
      <c r="AP35" s="473" t="e">
        <f t="shared" ref="AP35:AP47" si="31">IF(AND($S35&gt;=IF($B$2="mil",1,0.0254)*500, $S35&lt;=IF($B$2="mil",1,0.0254)*6500),"Pass",IF($B$2="mil",1,0.0254)*6500-$S35)</f>
        <v>#REF!</v>
      </c>
      <c r="AQ35" s="473" t="e">
        <f t="shared" ref="AQ35:AQ47" si="32">IF(AND($T35&gt;=IF($B$2="mil",1,0.0254)*500, $T35&lt;=IF($B$2="mil",1,0.0254)*7000),"Pass",IF($B$2="mil",1,0.0254)*7000-$T35)</f>
        <v>#REF!</v>
      </c>
      <c r="AR35" s="473" t="e">
        <f t="shared" ref="AR35:AR47" si="33">IF(AND($Y35&gt;=IF($B$2="mil",1,0.0254)*500, $Y35&lt;=IF($B$2="mil",1,0.0254)*6500),"Pass",IF($B$2="mil",1,0.0254)*6500-$Y35)</f>
        <v>#REF!</v>
      </c>
      <c r="AS35" s="474" t="e">
        <f t="shared" ref="AS35:AS47" si="34">IF(AND($Z35&gt;=IF($B$2="mil",1,0.0254)*500, $Z35&lt;=IF($B$2="mil",1,0.0254)*7000),"Pass",IF($B$2="mil",1,0.0254)*7000-$Z35)</f>
        <v>#REF!</v>
      </c>
      <c r="AT35" s="4" t="e">
        <f t="shared" ref="AT35:AT55" ca="1" si="35">IF(AND(W35="Pass",X35="Pass",AE35="Pass",AF35="Pass",AG35="Pass",AH35="Pass",AI35="Pass",AJ35="Pass",AK35="Pass",AL35="Pass",AM35="Pass",AN35="Pass",AO35="Pass",AP35="Pass",AQ35="Pass",AR35="Pass",AS35="Pass"),"Pass","Fail")</f>
        <v>#REF!</v>
      </c>
      <c r="AU35" s="4" t="e">
        <f ca="1">IF(AND(AT35="Pass",AT36="Pass",AT37="Pass",AT38="Pass",AT39="Pass",AT40="Pass",AT41="Pass",AT42="Pass",AT43="Pass",AT44="Pass",AT45="Pass",AT34="Pass"),"Pass","Fail")</f>
        <v>#REF!</v>
      </c>
    </row>
    <row r="36" spans="1:47" s="4" customFormat="1" x14ac:dyDescent="0.2">
      <c r="A36" s="214" t="s">
        <v>88</v>
      </c>
      <c r="B36" s="433" t="s">
        <v>479</v>
      </c>
      <c r="C36" s="562">
        <v>448.14960629921256</v>
      </c>
      <c r="D36" s="164"/>
      <c r="E36">
        <v>22.63</v>
      </c>
      <c r="F36">
        <v>0</v>
      </c>
      <c r="G36">
        <v>2585.69</v>
      </c>
      <c r="H36" s="293"/>
      <c r="I36" s="295"/>
      <c r="J36" s="294">
        <v>0</v>
      </c>
      <c r="K36">
        <v>36.64</v>
      </c>
      <c r="L36" s="296"/>
      <c r="M36" s="551">
        <v>1235.4100000000001</v>
      </c>
      <c r="N36" s="551">
        <v>483.76</v>
      </c>
      <c r="O36" s="212"/>
      <c r="P36" s="551">
        <v>694.51</v>
      </c>
      <c r="Q36" s="551">
        <v>104.19</v>
      </c>
      <c r="R36" s="551">
        <v>89.68</v>
      </c>
      <c r="S36" s="490">
        <f t="shared" si="20"/>
        <v>5126.1900000000005</v>
      </c>
      <c r="T36" s="469" t="e">
        <f t="shared" si="21"/>
        <v>#REF!</v>
      </c>
      <c r="U36" s="469" t="e">
        <f>$V$32 + IF($B$2="mil",1,0.0254)*DDR2Specs!$E$9</f>
        <v>#REF!</v>
      </c>
      <c r="V36" s="492" t="e">
        <f>$U$32 + IF($B$2="mil",1,0.0254)*DDR2Specs!$F$9</f>
        <v>#REF!</v>
      </c>
      <c r="W36" s="491" t="e">
        <f t="shared" si="12"/>
        <v>#REF!</v>
      </c>
      <c r="X36" s="492" t="e">
        <f t="shared" si="13"/>
        <v>#REF!</v>
      </c>
      <c r="Y36" s="490">
        <f t="shared" si="22"/>
        <v>5111.6800000000012</v>
      </c>
      <c r="Z36" s="469" t="e">
        <f t="shared" si="23"/>
        <v>#REF!</v>
      </c>
      <c r="AA36" s="469" t="e">
        <f>$AB$32 + IF($B$2="mil",1,0.0254)*DDR2Specs!$E$9</f>
        <v>#REF!</v>
      </c>
      <c r="AB36" s="469" t="e">
        <f>$AA$32 + IF($B$2="mil",1,0.0254)*DDR2Specs!$F$9</f>
        <v>#REF!</v>
      </c>
      <c r="AC36" s="491" t="e">
        <f t="shared" si="14"/>
        <v>#REF!</v>
      </c>
      <c r="AD36" s="492" t="e">
        <f t="shared" si="15"/>
        <v>#REF!</v>
      </c>
      <c r="AE36" s="472" t="e">
        <f t="shared" si="24"/>
        <v>#REF!</v>
      </c>
      <c r="AF36" s="473" t="e">
        <f t="shared" si="16"/>
        <v>#REF!</v>
      </c>
      <c r="AG36" s="473" t="e">
        <f t="shared" si="17"/>
        <v>#REF!</v>
      </c>
      <c r="AH36" s="473" t="e">
        <f t="shared" ca="1" si="25"/>
        <v>#NAME?</v>
      </c>
      <c r="AI36" s="473" t="e">
        <f t="shared" si="26"/>
        <v>#REF!</v>
      </c>
      <c r="AJ36" s="473" t="e">
        <f t="shared" si="27"/>
        <v>#REF!</v>
      </c>
      <c r="AK36" s="473" t="e">
        <f t="shared" si="18"/>
        <v>#REF!</v>
      </c>
      <c r="AL36" s="473" t="e">
        <f t="shared" si="28"/>
        <v>#REF!</v>
      </c>
      <c r="AM36" s="473" t="e">
        <f t="shared" si="19"/>
        <v>#REF!</v>
      </c>
      <c r="AN36" s="473" t="e">
        <f t="shared" ca="1" si="29"/>
        <v>#NAME?</v>
      </c>
      <c r="AO36" s="473" t="e">
        <f t="shared" ca="1" si="30"/>
        <v>#NAME?</v>
      </c>
      <c r="AP36" s="473" t="e">
        <f t="shared" si="31"/>
        <v>#REF!</v>
      </c>
      <c r="AQ36" s="473" t="e">
        <f t="shared" si="32"/>
        <v>#REF!</v>
      </c>
      <c r="AR36" s="473" t="e">
        <f t="shared" si="33"/>
        <v>#REF!</v>
      </c>
      <c r="AS36" s="474" t="e">
        <f t="shared" si="34"/>
        <v>#REF!</v>
      </c>
      <c r="AT36" s="4" t="e">
        <f t="shared" ca="1" si="35"/>
        <v>#REF!</v>
      </c>
    </row>
    <row r="37" spans="1:47" s="4" customFormat="1" x14ac:dyDescent="0.2">
      <c r="A37" s="214" t="s">
        <v>89</v>
      </c>
      <c r="B37" s="433" t="s">
        <v>480</v>
      </c>
      <c r="C37" s="562">
        <v>435.90551181102359</v>
      </c>
      <c r="D37" s="164"/>
      <c r="E37">
        <v>22.63</v>
      </c>
      <c r="F37">
        <v>0</v>
      </c>
      <c r="G37">
        <v>1819</v>
      </c>
      <c r="H37" s="293"/>
      <c r="I37" s="295"/>
      <c r="J37" s="294">
        <v>0</v>
      </c>
      <c r="K37">
        <v>86.64</v>
      </c>
      <c r="L37" s="296"/>
      <c r="M37" s="551">
        <v>1582.98</v>
      </c>
      <c r="N37" s="551">
        <v>501.07</v>
      </c>
      <c r="O37" s="212"/>
      <c r="P37" s="551">
        <v>644.19000000000005</v>
      </c>
      <c r="Q37" s="551">
        <v>373.47</v>
      </c>
      <c r="R37" s="551">
        <v>427.52</v>
      </c>
      <c r="S37" s="490">
        <f t="shared" si="20"/>
        <v>4943.34</v>
      </c>
      <c r="T37" s="469" t="e">
        <f t="shared" si="21"/>
        <v>#REF!</v>
      </c>
      <c r="U37" s="469" t="e">
        <f>$V$32 + IF($B$2="mil",1,0.0254)*DDR2Specs!$E$9</f>
        <v>#REF!</v>
      </c>
      <c r="V37" s="492" t="e">
        <f>$U$32 + IF($B$2="mil",1,0.0254)*DDR2Specs!$F$9</f>
        <v>#REF!</v>
      </c>
      <c r="W37" s="491" t="e">
        <f t="shared" si="12"/>
        <v>#REF!</v>
      </c>
      <c r="X37" s="492" t="e">
        <f t="shared" si="13"/>
        <v>#REF!</v>
      </c>
      <c r="Y37" s="490">
        <f t="shared" si="22"/>
        <v>4997.3899999999994</v>
      </c>
      <c r="Z37" s="469" t="e">
        <f t="shared" si="23"/>
        <v>#REF!</v>
      </c>
      <c r="AA37" s="469" t="e">
        <f>$AB$32 + IF($B$2="mil",1,0.0254)*DDR2Specs!$E$9</f>
        <v>#REF!</v>
      </c>
      <c r="AB37" s="469" t="e">
        <f>$AA$32 + IF($B$2="mil",1,0.0254)*DDR2Specs!$F$9</f>
        <v>#REF!</v>
      </c>
      <c r="AC37" s="491" t="e">
        <f t="shared" si="14"/>
        <v>#REF!</v>
      </c>
      <c r="AD37" s="492" t="e">
        <f t="shared" si="15"/>
        <v>#REF!</v>
      </c>
      <c r="AE37" s="472" t="e">
        <f t="shared" si="24"/>
        <v>#REF!</v>
      </c>
      <c r="AF37" s="473" t="e">
        <f t="shared" si="16"/>
        <v>#REF!</v>
      </c>
      <c r="AG37" s="473" t="e">
        <f t="shared" si="17"/>
        <v>#REF!</v>
      </c>
      <c r="AH37" s="473" t="e">
        <f t="shared" ca="1" si="25"/>
        <v>#NAME?</v>
      </c>
      <c r="AI37" s="473" t="e">
        <f t="shared" si="26"/>
        <v>#REF!</v>
      </c>
      <c r="AJ37" s="473" t="e">
        <f t="shared" si="27"/>
        <v>#REF!</v>
      </c>
      <c r="AK37" s="473" t="e">
        <f t="shared" si="18"/>
        <v>#REF!</v>
      </c>
      <c r="AL37" s="473" t="e">
        <f t="shared" si="28"/>
        <v>#REF!</v>
      </c>
      <c r="AM37" s="473" t="e">
        <f t="shared" si="19"/>
        <v>#REF!</v>
      </c>
      <c r="AN37" s="473" t="e">
        <f t="shared" ca="1" si="29"/>
        <v>#NAME?</v>
      </c>
      <c r="AO37" s="473" t="e">
        <f t="shared" ca="1" si="30"/>
        <v>#NAME?</v>
      </c>
      <c r="AP37" s="473" t="e">
        <f t="shared" si="31"/>
        <v>#REF!</v>
      </c>
      <c r="AQ37" s="473" t="e">
        <f t="shared" si="32"/>
        <v>#REF!</v>
      </c>
      <c r="AR37" s="473" t="e">
        <f t="shared" si="33"/>
        <v>#REF!</v>
      </c>
      <c r="AS37" s="474" t="e">
        <f t="shared" si="34"/>
        <v>#REF!</v>
      </c>
      <c r="AT37" s="4" t="e">
        <f t="shared" ca="1" si="35"/>
        <v>#REF!</v>
      </c>
    </row>
    <row r="38" spans="1:47" s="4" customFormat="1" x14ac:dyDescent="0.2">
      <c r="A38" s="214" t="s">
        <v>90</v>
      </c>
      <c r="B38" s="433" t="s">
        <v>481</v>
      </c>
      <c r="C38" s="562">
        <v>381.06299212598429</v>
      </c>
      <c r="D38" s="164"/>
      <c r="E38">
        <v>22.63</v>
      </c>
      <c r="F38">
        <v>0</v>
      </c>
      <c r="G38">
        <v>1880.28</v>
      </c>
      <c r="H38" s="293"/>
      <c r="I38" s="295"/>
      <c r="J38" s="294">
        <v>0</v>
      </c>
      <c r="K38">
        <v>63.71</v>
      </c>
      <c r="L38" s="296"/>
      <c r="M38" s="551">
        <v>1677.58</v>
      </c>
      <c r="N38" s="551">
        <v>511.88</v>
      </c>
      <c r="O38" s="212"/>
      <c r="P38" s="551">
        <v>643.69000000000005</v>
      </c>
      <c r="Q38" s="551">
        <v>369.56</v>
      </c>
      <c r="R38" s="551">
        <v>401.77</v>
      </c>
      <c r="S38" s="490">
        <f t="shared" si="20"/>
        <v>5105.6200000000008</v>
      </c>
      <c r="T38" s="469" t="e">
        <f t="shared" si="21"/>
        <v>#REF!</v>
      </c>
      <c r="U38" s="469" t="e">
        <f>$V$32 + IF($B$2="mil",1,0.0254)*DDR2Specs!$E$9</f>
        <v>#REF!</v>
      </c>
      <c r="V38" s="492" t="e">
        <f>$U$32 + IF($B$2="mil",1,0.0254)*DDR2Specs!$F$9</f>
        <v>#REF!</v>
      </c>
      <c r="W38" s="491" t="e">
        <f t="shared" si="12"/>
        <v>#REF!</v>
      </c>
      <c r="X38" s="492" t="e">
        <f t="shared" si="13"/>
        <v>#REF!</v>
      </c>
      <c r="Y38" s="490">
        <f t="shared" si="22"/>
        <v>5137.83</v>
      </c>
      <c r="Z38" s="469" t="e">
        <f t="shared" si="23"/>
        <v>#REF!</v>
      </c>
      <c r="AA38" s="469" t="e">
        <f>$AB$32 + IF($B$2="mil",1,0.0254)*DDR2Specs!$E$9</f>
        <v>#REF!</v>
      </c>
      <c r="AB38" s="469" t="e">
        <f>$AA$32 + IF($B$2="mil",1,0.0254)*DDR2Specs!$F$9</f>
        <v>#REF!</v>
      </c>
      <c r="AC38" s="491" t="e">
        <f t="shared" si="14"/>
        <v>#REF!</v>
      </c>
      <c r="AD38" s="492" t="e">
        <f t="shared" si="15"/>
        <v>#REF!</v>
      </c>
      <c r="AE38" s="472" t="e">
        <f t="shared" si="24"/>
        <v>#REF!</v>
      </c>
      <c r="AF38" s="473" t="e">
        <f t="shared" si="16"/>
        <v>#REF!</v>
      </c>
      <c r="AG38" s="473" t="e">
        <f t="shared" si="17"/>
        <v>#REF!</v>
      </c>
      <c r="AH38" s="473" t="e">
        <f t="shared" ca="1" si="25"/>
        <v>#NAME?</v>
      </c>
      <c r="AI38" s="473" t="e">
        <f t="shared" si="26"/>
        <v>#REF!</v>
      </c>
      <c r="AJ38" s="473" t="e">
        <f t="shared" si="27"/>
        <v>#REF!</v>
      </c>
      <c r="AK38" s="473" t="e">
        <f t="shared" si="18"/>
        <v>#REF!</v>
      </c>
      <c r="AL38" s="473" t="e">
        <f t="shared" si="28"/>
        <v>#REF!</v>
      </c>
      <c r="AM38" s="473" t="e">
        <f t="shared" si="19"/>
        <v>#REF!</v>
      </c>
      <c r="AN38" s="473" t="e">
        <f t="shared" ca="1" si="29"/>
        <v>#NAME?</v>
      </c>
      <c r="AO38" s="473" t="e">
        <f t="shared" ca="1" si="30"/>
        <v>#NAME?</v>
      </c>
      <c r="AP38" s="473" t="e">
        <f t="shared" si="31"/>
        <v>#REF!</v>
      </c>
      <c r="AQ38" s="473" t="e">
        <f t="shared" si="32"/>
        <v>#REF!</v>
      </c>
      <c r="AR38" s="473" t="e">
        <f t="shared" si="33"/>
        <v>#REF!</v>
      </c>
      <c r="AS38" s="474" t="e">
        <f t="shared" si="34"/>
        <v>#REF!</v>
      </c>
      <c r="AT38" s="4" t="e">
        <f t="shared" ca="1" si="35"/>
        <v>#REF!</v>
      </c>
    </row>
    <row r="39" spans="1:47" s="4" customFormat="1" x14ac:dyDescent="0.2">
      <c r="A39" s="214" t="s">
        <v>91</v>
      </c>
      <c r="B39" s="434" t="s">
        <v>482</v>
      </c>
      <c r="C39" s="562">
        <v>420.03937007874021</v>
      </c>
      <c r="D39" s="164"/>
      <c r="E39">
        <v>22.63</v>
      </c>
      <c r="F39">
        <v>0</v>
      </c>
      <c r="G39">
        <v>2022.28</v>
      </c>
      <c r="H39" s="293"/>
      <c r="I39" s="295"/>
      <c r="J39" s="294">
        <v>0</v>
      </c>
      <c r="K39">
        <v>94.93</v>
      </c>
      <c r="L39" s="296"/>
      <c r="M39" s="551">
        <v>1766.79</v>
      </c>
      <c r="N39" s="551">
        <v>478</v>
      </c>
      <c r="O39" s="212"/>
      <c r="P39" s="551">
        <v>665.62</v>
      </c>
      <c r="Q39" s="551">
        <v>136.13</v>
      </c>
      <c r="R39" s="551">
        <v>197.23</v>
      </c>
      <c r="S39" s="490">
        <f t="shared" si="20"/>
        <v>5091.45</v>
      </c>
      <c r="T39" s="469" t="e">
        <f t="shared" si="21"/>
        <v>#REF!</v>
      </c>
      <c r="U39" s="469" t="e">
        <f>$V$32 + IF($B$2="mil",1,0.0254)*DDR2Specs!$E$9</f>
        <v>#REF!</v>
      </c>
      <c r="V39" s="492" t="e">
        <f>$U$32 + IF($B$2="mil",1,0.0254)*DDR2Specs!$F$9</f>
        <v>#REF!</v>
      </c>
      <c r="W39" s="491" t="e">
        <f t="shared" si="12"/>
        <v>#REF!</v>
      </c>
      <c r="X39" s="492" t="e">
        <f t="shared" si="13"/>
        <v>#REF!</v>
      </c>
      <c r="Y39" s="490">
        <f t="shared" si="22"/>
        <v>5152.5499999999993</v>
      </c>
      <c r="Z39" s="469" t="e">
        <f t="shared" si="23"/>
        <v>#REF!</v>
      </c>
      <c r="AA39" s="469" t="e">
        <f>$AB$32 + IF($B$2="mil",1,0.0254)*DDR2Specs!$E$9</f>
        <v>#REF!</v>
      </c>
      <c r="AB39" s="469" t="e">
        <f>$AA$32 + IF($B$2="mil",1,0.0254)*DDR2Specs!$F$9</f>
        <v>#REF!</v>
      </c>
      <c r="AC39" s="491" t="e">
        <f t="shared" si="14"/>
        <v>#REF!</v>
      </c>
      <c r="AD39" s="492" t="e">
        <f t="shared" si="15"/>
        <v>#REF!</v>
      </c>
      <c r="AE39" s="472" t="e">
        <f t="shared" si="24"/>
        <v>#REF!</v>
      </c>
      <c r="AF39" s="473" t="e">
        <f t="shared" si="16"/>
        <v>#REF!</v>
      </c>
      <c r="AG39" s="473" t="e">
        <f t="shared" si="17"/>
        <v>#REF!</v>
      </c>
      <c r="AH39" s="473" t="e">
        <f t="shared" ca="1" si="25"/>
        <v>#NAME?</v>
      </c>
      <c r="AI39" s="473" t="e">
        <f t="shared" si="26"/>
        <v>#REF!</v>
      </c>
      <c r="AJ39" s="473" t="e">
        <f t="shared" si="27"/>
        <v>#REF!</v>
      </c>
      <c r="AK39" s="473" t="e">
        <f t="shared" si="18"/>
        <v>#REF!</v>
      </c>
      <c r="AL39" s="473" t="e">
        <f t="shared" si="28"/>
        <v>#REF!</v>
      </c>
      <c r="AM39" s="473" t="e">
        <f t="shared" si="19"/>
        <v>#REF!</v>
      </c>
      <c r="AN39" s="473" t="e">
        <f t="shared" ca="1" si="29"/>
        <v>#NAME?</v>
      </c>
      <c r="AO39" s="473" t="e">
        <f t="shared" ca="1" si="30"/>
        <v>#NAME?</v>
      </c>
      <c r="AP39" s="473" t="e">
        <f t="shared" si="31"/>
        <v>#REF!</v>
      </c>
      <c r="AQ39" s="473" t="e">
        <f t="shared" si="32"/>
        <v>#REF!</v>
      </c>
      <c r="AR39" s="473" t="e">
        <f t="shared" si="33"/>
        <v>#REF!</v>
      </c>
      <c r="AS39" s="474" t="e">
        <f t="shared" si="34"/>
        <v>#REF!</v>
      </c>
      <c r="AT39" s="4" t="e">
        <f t="shared" ca="1" si="35"/>
        <v>#REF!</v>
      </c>
    </row>
    <row r="40" spans="1:47" s="4" customFormat="1" x14ac:dyDescent="0.2">
      <c r="A40" s="214" t="s">
        <v>92</v>
      </c>
      <c r="B40" s="433" t="s">
        <v>483</v>
      </c>
      <c r="C40" s="562">
        <v>468.89763779527561</v>
      </c>
      <c r="D40" s="164"/>
      <c r="E40">
        <v>22.63</v>
      </c>
      <c r="F40">
        <v>0</v>
      </c>
      <c r="G40">
        <v>1826.05</v>
      </c>
      <c r="H40" s="293"/>
      <c r="I40" s="295"/>
      <c r="J40" s="294">
        <v>0</v>
      </c>
      <c r="K40">
        <v>40.78</v>
      </c>
      <c r="L40" s="296"/>
      <c r="M40" s="551">
        <v>1723.76</v>
      </c>
      <c r="N40" s="551">
        <v>557.94000000000005</v>
      </c>
      <c r="O40" s="212"/>
      <c r="P40" s="551">
        <v>669.08</v>
      </c>
      <c r="Q40" s="551">
        <v>135.09</v>
      </c>
      <c r="R40" s="551">
        <v>164.7</v>
      </c>
      <c r="S40" s="490">
        <f t="shared" si="20"/>
        <v>4934.5500000000011</v>
      </c>
      <c r="T40" s="469" t="e">
        <f t="shared" si="21"/>
        <v>#REF!</v>
      </c>
      <c r="U40" s="469" t="e">
        <f>$V$32 + IF($B$2="mil",1,0.0254)*DDR2Specs!$E$9</f>
        <v>#REF!</v>
      </c>
      <c r="V40" s="492" t="e">
        <f>$U$32 + IF($B$2="mil",1,0.0254)*DDR2Specs!$F$9</f>
        <v>#REF!</v>
      </c>
      <c r="W40" s="491" t="e">
        <f t="shared" si="12"/>
        <v>#REF!</v>
      </c>
      <c r="X40" s="492" t="e">
        <f t="shared" si="13"/>
        <v>#REF!</v>
      </c>
      <c r="Y40" s="490">
        <f t="shared" si="22"/>
        <v>4964.1600000000008</v>
      </c>
      <c r="Z40" s="469" t="e">
        <f t="shared" si="23"/>
        <v>#REF!</v>
      </c>
      <c r="AA40" s="469" t="e">
        <f>$AB$32 + IF($B$2="mil",1,0.0254)*DDR2Specs!$E$9</f>
        <v>#REF!</v>
      </c>
      <c r="AB40" s="469" t="e">
        <f>$AA$32 + IF($B$2="mil",1,0.0254)*DDR2Specs!$F$9</f>
        <v>#REF!</v>
      </c>
      <c r="AC40" s="491" t="e">
        <f t="shared" si="14"/>
        <v>#REF!</v>
      </c>
      <c r="AD40" s="492" t="e">
        <f t="shared" si="15"/>
        <v>#REF!</v>
      </c>
      <c r="AE40" s="472" t="e">
        <f t="shared" si="24"/>
        <v>#REF!</v>
      </c>
      <c r="AF40" s="473" t="e">
        <f t="shared" si="16"/>
        <v>#REF!</v>
      </c>
      <c r="AG40" s="473" t="e">
        <f t="shared" si="17"/>
        <v>#REF!</v>
      </c>
      <c r="AH40" s="473" t="e">
        <f t="shared" ca="1" si="25"/>
        <v>#NAME?</v>
      </c>
      <c r="AI40" s="473" t="e">
        <f t="shared" si="26"/>
        <v>#REF!</v>
      </c>
      <c r="AJ40" s="473" t="e">
        <f t="shared" si="27"/>
        <v>#REF!</v>
      </c>
      <c r="AK40" s="473" t="e">
        <f t="shared" si="18"/>
        <v>#REF!</v>
      </c>
      <c r="AL40" s="473" t="e">
        <f t="shared" si="28"/>
        <v>#REF!</v>
      </c>
      <c r="AM40" s="473" t="e">
        <f t="shared" si="19"/>
        <v>#REF!</v>
      </c>
      <c r="AN40" s="473" t="e">
        <f t="shared" ca="1" si="29"/>
        <v>#NAME?</v>
      </c>
      <c r="AO40" s="473" t="e">
        <f t="shared" ca="1" si="30"/>
        <v>#NAME?</v>
      </c>
      <c r="AP40" s="473" t="e">
        <f t="shared" si="31"/>
        <v>#REF!</v>
      </c>
      <c r="AQ40" s="473" t="e">
        <f t="shared" si="32"/>
        <v>#REF!</v>
      </c>
      <c r="AR40" s="473" t="e">
        <f t="shared" si="33"/>
        <v>#REF!</v>
      </c>
      <c r="AS40" s="474" t="e">
        <f t="shared" si="34"/>
        <v>#REF!</v>
      </c>
      <c r="AT40" s="4" t="e">
        <f t="shared" ca="1" si="35"/>
        <v>#REF!</v>
      </c>
    </row>
    <row r="41" spans="1:47" s="4" customFormat="1" x14ac:dyDescent="0.2">
      <c r="A41" s="214" t="s">
        <v>94</v>
      </c>
      <c r="B41" s="433" t="s">
        <v>484</v>
      </c>
      <c r="C41" s="562">
        <v>508.74015748031502</v>
      </c>
      <c r="D41" s="164"/>
      <c r="E41">
        <v>22.63</v>
      </c>
      <c r="F41">
        <v>0</v>
      </c>
      <c r="G41">
        <v>1991.59</v>
      </c>
      <c r="H41" s="293"/>
      <c r="I41" s="295"/>
      <c r="J41" s="294">
        <v>0</v>
      </c>
      <c r="K41">
        <v>90.78</v>
      </c>
      <c r="L41" s="296"/>
      <c r="M41" s="551">
        <v>1429.22</v>
      </c>
      <c r="N41" s="551">
        <v>498.37</v>
      </c>
      <c r="O41" s="212"/>
      <c r="P41" s="551">
        <v>653.82000000000005</v>
      </c>
      <c r="Q41" s="551">
        <v>256.72000000000003</v>
      </c>
      <c r="R41" s="551">
        <v>318.58</v>
      </c>
      <c r="S41" s="490">
        <f t="shared" si="20"/>
        <v>4852.3500000000004</v>
      </c>
      <c r="T41" s="469" t="e">
        <f t="shared" si="21"/>
        <v>#REF!</v>
      </c>
      <c r="U41" s="469" t="e">
        <f>$V$32 + IF($B$2="mil",1,0.0254)*DDR2Specs!$E$9</f>
        <v>#REF!</v>
      </c>
      <c r="V41" s="492" t="e">
        <f>$U$32 + IF($B$2="mil",1,0.0254)*DDR2Specs!$F$9</f>
        <v>#REF!</v>
      </c>
      <c r="W41" s="491" t="e">
        <f t="shared" si="12"/>
        <v>#REF!</v>
      </c>
      <c r="X41" s="492" t="e">
        <f t="shared" si="13"/>
        <v>#REF!</v>
      </c>
      <c r="Y41" s="490">
        <f t="shared" si="22"/>
        <v>4914.21</v>
      </c>
      <c r="Z41" s="469" t="e">
        <f t="shared" si="23"/>
        <v>#REF!</v>
      </c>
      <c r="AA41" s="469" t="e">
        <f>$AB$32 + IF($B$2="mil",1,0.0254)*DDR2Specs!$E$9</f>
        <v>#REF!</v>
      </c>
      <c r="AB41" s="469" t="e">
        <f>$AA$32 + IF($B$2="mil",1,0.0254)*DDR2Specs!$F$9</f>
        <v>#REF!</v>
      </c>
      <c r="AC41" s="491" t="e">
        <f t="shared" si="14"/>
        <v>#REF!</v>
      </c>
      <c r="AD41" s="492" t="e">
        <f t="shared" si="15"/>
        <v>#REF!</v>
      </c>
      <c r="AE41" s="472" t="e">
        <f t="shared" si="24"/>
        <v>#REF!</v>
      </c>
      <c r="AF41" s="473" t="e">
        <f t="shared" si="16"/>
        <v>#REF!</v>
      </c>
      <c r="AG41" s="473" t="e">
        <f t="shared" si="17"/>
        <v>#REF!</v>
      </c>
      <c r="AH41" s="473" t="e">
        <f t="shared" ca="1" si="25"/>
        <v>#NAME?</v>
      </c>
      <c r="AI41" s="473" t="e">
        <f t="shared" si="26"/>
        <v>#REF!</v>
      </c>
      <c r="AJ41" s="473" t="e">
        <f t="shared" si="27"/>
        <v>#REF!</v>
      </c>
      <c r="AK41" s="473" t="e">
        <f t="shared" si="18"/>
        <v>#REF!</v>
      </c>
      <c r="AL41" s="473" t="e">
        <f t="shared" si="28"/>
        <v>#REF!</v>
      </c>
      <c r="AM41" s="473" t="e">
        <f t="shared" si="19"/>
        <v>#REF!</v>
      </c>
      <c r="AN41" s="473" t="e">
        <f t="shared" ca="1" si="29"/>
        <v>#NAME?</v>
      </c>
      <c r="AO41" s="473" t="e">
        <f t="shared" ca="1" si="30"/>
        <v>#NAME?</v>
      </c>
      <c r="AP41" s="473" t="e">
        <f t="shared" si="31"/>
        <v>#REF!</v>
      </c>
      <c r="AQ41" s="473" t="e">
        <f t="shared" si="32"/>
        <v>#REF!</v>
      </c>
      <c r="AR41" s="473" t="e">
        <f t="shared" si="33"/>
        <v>#REF!</v>
      </c>
      <c r="AS41" s="474" t="e">
        <f t="shared" si="34"/>
        <v>#REF!</v>
      </c>
      <c r="AT41" s="4" t="e">
        <f t="shared" ca="1" si="35"/>
        <v>#REF!</v>
      </c>
    </row>
    <row r="42" spans="1:47" s="4" customFormat="1" x14ac:dyDescent="0.2">
      <c r="A42" s="214" t="s">
        <v>95</v>
      </c>
      <c r="B42" s="434" t="s">
        <v>485</v>
      </c>
      <c r="C42" s="562">
        <v>529.40944881889766</v>
      </c>
      <c r="D42" s="164"/>
      <c r="E42">
        <v>22.63</v>
      </c>
      <c r="F42">
        <v>0</v>
      </c>
      <c r="G42">
        <v>1917.62</v>
      </c>
      <c r="H42" s="293"/>
      <c r="I42" s="295"/>
      <c r="J42" s="294">
        <v>0</v>
      </c>
      <c r="K42">
        <v>56.64</v>
      </c>
      <c r="L42" s="296"/>
      <c r="M42" s="551">
        <v>1500.61</v>
      </c>
      <c r="N42" s="551">
        <v>469.11</v>
      </c>
      <c r="O42" s="212"/>
      <c r="P42" s="551">
        <v>653.82000000000005</v>
      </c>
      <c r="Q42" s="551">
        <v>255.28</v>
      </c>
      <c r="R42" s="551">
        <v>284.73</v>
      </c>
      <c r="S42" s="490">
        <f t="shared" si="20"/>
        <v>4819.07</v>
      </c>
      <c r="T42" s="469" t="e">
        <f t="shared" si="21"/>
        <v>#REF!</v>
      </c>
      <c r="U42" s="469" t="e">
        <f>$V$32 + IF($B$2="mil",1,0.0254)*DDR2Specs!$E$9</f>
        <v>#REF!</v>
      </c>
      <c r="V42" s="492" t="e">
        <f>$U$32 + IF($B$2="mil",1,0.0254)*DDR2Specs!$F$9</f>
        <v>#REF!</v>
      </c>
      <c r="W42" s="491" t="e">
        <f t="shared" si="12"/>
        <v>#REF!</v>
      </c>
      <c r="X42" s="492" t="e">
        <f t="shared" si="13"/>
        <v>#REF!</v>
      </c>
      <c r="Y42" s="490">
        <f t="shared" si="22"/>
        <v>4848.5200000000004</v>
      </c>
      <c r="Z42" s="469" t="e">
        <f t="shared" si="23"/>
        <v>#REF!</v>
      </c>
      <c r="AA42" s="469" t="e">
        <f>$AB$32 + IF($B$2="mil",1,0.0254)*DDR2Specs!$E$9</f>
        <v>#REF!</v>
      </c>
      <c r="AB42" s="469" t="e">
        <f>$AA$32 + IF($B$2="mil",1,0.0254)*DDR2Specs!$F$9</f>
        <v>#REF!</v>
      </c>
      <c r="AC42" s="491" t="e">
        <f t="shared" si="14"/>
        <v>#REF!</v>
      </c>
      <c r="AD42" s="492" t="e">
        <f t="shared" si="15"/>
        <v>#REF!</v>
      </c>
      <c r="AE42" s="472" t="e">
        <f t="shared" si="24"/>
        <v>#REF!</v>
      </c>
      <c r="AF42" s="473" t="e">
        <f t="shared" si="16"/>
        <v>#REF!</v>
      </c>
      <c r="AG42" s="473" t="e">
        <f t="shared" si="17"/>
        <v>#REF!</v>
      </c>
      <c r="AH42" s="473" t="e">
        <f t="shared" ca="1" si="25"/>
        <v>#NAME?</v>
      </c>
      <c r="AI42" s="473" t="e">
        <f t="shared" si="26"/>
        <v>#REF!</v>
      </c>
      <c r="AJ42" s="473" t="e">
        <f t="shared" si="27"/>
        <v>#REF!</v>
      </c>
      <c r="AK42" s="473" t="e">
        <f t="shared" si="18"/>
        <v>#REF!</v>
      </c>
      <c r="AL42" s="473" t="e">
        <f t="shared" si="28"/>
        <v>#REF!</v>
      </c>
      <c r="AM42" s="473" t="e">
        <f t="shared" si="19"/>
        <v>#REF!</v>
      </c>
      <c r="AN42" s="473" t="e">
        <f t="shared" ca="1" si="29"/>
        <v>#NAME?</v>
      </c>
      <c r="AO42" s="473" t="e">
        <f t="shared" ca="1" si="30"/>
        <v>#NAME?</v>
      </c>
      <c r="AP42" s="473" t="e">
        <f t="shared" si="31"/>
        <v>#REF!</v>
      </c>
      <c r="AQ42" s="473" t="e">
        <f t="shared" si="32"/>
        <v>#REF!</v>
      </c>
      <c r="AR42" s="473" t="e">
        <f t="shared" si="33"/>
        <v>#REF!</v>
      </c>
      <c r="AS42" s="474" t="e">
        <f t="shared" si="34"/>
        <v>#REF!</v>
      </c>
      <c r="AT42" s="4" t="e">
        <f t="shared" ca="1" si="35"/>
        <v>#REF!</v>
      </c>
    </row>
    <row r="43" spans="1:47" s="4" customFormat="1" x14ac:dyDescent="0.2">
      <c r="A43" s="214" t="s">
        <v>96</v>
      </c>
      <c r="B43" s="433" t="s">
        <v>486</v>
      </c>
      <c r="C43" s="562">
        <v>442.40157480314963</v>
      </c>
      <c r="D43" s="164"/>
      <c r="E43">
        <v>22.63</v>
      </c>
      <c r="F43">
        <v>0</v>
      </c>
      <c r="G43">
        <v>1971.45</v>
      </c>
      <c r="H43" s="293"/>
      <c r="I43" s="295"/>
      <c r="J43" s="294">
        <v>0</v>
      </c>
      <c r="K43">
        <v>63.71</v>
      </c>
      <c r="L43" s="296"/>
      <c r="M43" s="551">
        <v>1585.37</v>
      </c>
      <c r="N43" s="551">
        <v>482.58</v>
      </c>
      <c r="O43" s="212"/>
      <c r="P43" s="551">
        <v>647.4</v>
      </c>
      <c r="Q43" s="551">
        <v>159.66999999999999</v>
      </c>
      <c r="R43" s="551">
        <v>221.46</v>
      </c>
      <c r="S43" s="490">
        <f t="shared" si="20"/>
        <v>4869.0999999999995</v>
      </c>
      <c r="T43" s="469" t="e">
        <f t="shared" si="21"/>
        <v>#REF!</v>
      </c>
      <c r="U43" s="469" t="e">
        <f>$V$32 + IF($B$2="mil",1,0.0254)*DDR2Specs!$E$9</f>
        <v>#REF!</v>
      </c>
      <c r="V43" s="492" t="e">
        <f>$U$32 + IF($B$2="mil",1,0.0254)*DDR2Specs!$F$9</f>
        <v>#REF!</v>
      </c>
      <c r="W43" s="491" t="e">
        <f t="shared" si="12"/>
        <v>#REF!</v>
      </c>
      <c r="X43" s="492" t="e">
        <f t="shared" si="13"/>
        <v>#REF!</v>
      </c>
      <c r="Y43" s="490">
        <f t="shared" si="22"/>
        <v>4930.8899999999994</v>
      </c>
      <c r="Z43" s="469" t="e">
        <f t="shared" si="23"/>
        <v>#REF!</v>
      </c>
      <c r="AA43" s="469" t="e">
        <f>$AB$32 + IF($B$2="mil",1,0.0254)*DDR2Specs!$E$9</f>
        <v>#REF!</v>
      </c>
      <c r="AB43" s="469" t="e">
        <f>$AA$32 + IF($B$2="mil",1,0.0254)*DDR2Specs!$F$9</f>
        <v>#REF!</v>
      </c>
      <c r="AC43" s="491" t="e">
        <f t="shared" si="14"/>
        <v>#REF!</v>
      </c>
      <c r="AD43" s="492" t="e">
        <f t="shared" si="15"/>
        <v>#REF!</v>
      </c>
      <c r="AE43" s="472" t="e">
        <f t="shared" si="24"/>
        <v>#REF!</v>
      </c>
      <c r="AF43" s="473" t="e">
        <f t="shared" si="16"/>
        <v>#REF!</v>
      </c>
      <c r="AG43" s="473" t="e">
        <f t="shared" si="17"/>
        <v>#REF!</v>
      </c>
      <c r="AH43" s="473" t="e">
        <f t="shared" ca="1" si="25"/>
        <v>#NAME?</v>
      </c>
      <c r="AI43" s="473" t="e">
        <f t="shared" si="26"/>
        <v>#REF!</v>
      </c>
      <c r="AJ43" s="473" t="e">
        <f t="shared" si="27"/>
        <v>#REF!</v>
      </c>
      <c r="AK43" s="473" t="e">
        <f t="shared" si="18"/>
        <v>#REF!</v>
      </c>
      <c r="AL43" s="473" t="e">
        <f t="shared" si="28"/>
        <v>#REF!</v>
      </c>
      <c r="AM43" s="473" t="e">
        <f t="shared" si="19"/>
        <v>#REF!</v>
      </c>
      <c r="AN43" s="473" t="e">
        <f t="shared" ca="1" si="29"/>
        <v>#NAME?</v>
      </c>
      <c r="AO43" s="473" t="e">
        <f t="shared" ca="1" si="30"/>
        <v>#NAME?</v>
      </c>
      <c r="AP43" s="473" t="e">
        <f t="shared" si="31"/>
        <v>#REF!</v>
      </c>
      <c r="AQ43" s="473" t="e">
        <f t="shared" si="32"/>
        <v>#REF!</v>
      </c>
      <c r="AR43" s="473" t="e">
        <f t="shared" si="33"/>
        <v>#REF!</v>
      </c>
      <c r="AS43" s="474" t="e">
        <f t="shared" si="34"/>
        <v>#REF!</v>
      </c>
      <c r="AT43" s="4" t="e">
        <f t="shared" ca="1" si="35"/>
        <v>#REF!</v>
      </c>
    </row>
    <row r="44" spans="1:47" s="4" customFormat="1" x14ac:dyDescent="0.2">
      <c r="A44" s="214" t="s">
        <v>98</v>
      </c>
      <c r="B44" s="433" t="s">
        <v>487</v>
      </c>
      <c r="C44" s="562">
        <v>397.71653543307087</v>
      </c>
      <c r="D44" s="164"/>
      <c r="E44">
        <v>22.63</v>
      </c>
      <c r="F44">
        <v>0</v>
      </c>
      <c r="G44">
        <v>2381.19</v>
      </c>
      <c r="H44" s="293"/>
      <c r="I44" s="295"/>
      <c r="J44" s="294">
        <v>0</v>
      </c>
      <c r="K44">
        <v>36.64</v>
      </c>
      <c r="L44" s="296"/>
      <c r="M44" s="551">
        <v>1329.43</v>
      </c>
      <c r="N44" s="551">
        <v>522.86</v>
      </c>
      <c r="O44" s="212"/>
      <c r="P44" s="551">
        <v>681.36</v>
      </c>
      <c r="Q44" s="551">
        <v>151.82</v>
      </c>
      <c r="R44" s="551">
        <v>210.58</v>
      </c>
      <c r="S44" s="490">
        <f t="shared" si="20"/>
        <v>5089.2899999999991</v>
      </c>
      <c r="T44" s="469" t="e">
        <f t="shared" si="21"/>
        <v>#REF!</v>
      </c>
      <c r="U44" s="469" t="e">
        <f>$V$32 + IF($B$2="mil",1,0.0254)*DDR2Specs!$E$9</f>
        <v>#REF!</v>
      </c>
      <c r="V44" s="492" t="e">
        <f>$U$32 + IF($B$2="mil",1,0.0254)*DDR2Specs!$F$9</f>
        <v>#REF!</v>
      </c>
      <c r="W44" s="491" t="e">
        <f t="shared" si="12"/>
        <v>#REF!</v>
      </c>
      <c r="X44" s="492" t="e">
        <f t="shared" si="13"/>
        <v>#REF!</v>
      </c>
      <c r="Y44" s="490">
        <f t="shared" si="22"/>
        <v>5148.0499999999993</v>
      </c>
      <c r="Z44" s="469" t="e">
        <f t="shared" si="23"/>
        <v>#REF!</v>
      </c>
      <c r="AA44" s="469" t="e">
        <f>$AB$32 + IF($B$2="mil",1,0.0254)*DDR2Specs!$E$9</f>
        <v>#REF!</v>
      </c>
      <c r="AB44" s="469" t="e">
        <f>$AA$32 + IF($B$2="mil",1,0.0254)*DDR2Specs!$F$9</f>
        <v>#REF!</v>
      </c>
      <c r="AC44" s="491" t="e">
        <f t="shared" si="14"/>
        <v>#REF!</v>
      </c>
      <c r="AD44" s="492" t="e">
        <f t="shared" si="15"/>
        <v>#REF!</v>
      </c>
      <c r="AE44" s="472" t="e">
        <f t="shared" si="24"/>
        <v>#REF!</v>
      </c>
      <c r="AF44" s="473" t="e">
        <f t="shared" si="16"/>
        <v>#REF!</v>
      </c>
      <c r="AG44" s="473" t="e">
        <f t="shared" si="17"/>
        <v>#REF!</v>
      </c>
      <c r="AH44" s="473" t="e">
        <f t="shared" ca="1" si="25"/>
        <v>#NAME?</v>
      </c>
      <c r="AI44" s="473" t="e">
        <f t="shared" si="26"/>
        <v>#REF!</v>
      </c>
      <c r="AJ44" s="473" t="e">
        <f t="shared" si="27"/>
        <v>#REF!</v>
      </c>
      <c r="AK44" s="473" t="e">
        <f t="shared" si="18"/>
        <v>#REF!</v>
      </c>
      <c r="AL44" s="473" t="e">
        <f t="shared" si="28"/>
        <v>#REF!</v>
      </c>
      <c r="AM44" s="473" t="e">
        <f t="shared" si="19"/>
        <v>#REF!</v>
      </c>
      <c r="AN44" s="473" t="e">
        <f t="shared" ca="1" si="29"/>
        <v>#NAME?</v>
      </c>
      <c r="AO44" s="473" t="e">
        <f t="shared" ca="1" si="30"/>
        <v>#NAME?</v>
      </c>
      <c r="AP44" s="473" t="e">
        <f t="shared" si="31"/>
        <v>#REF!</v>
      </c>
      <c r="AQ44" s="473" t="e">
        <f t="shared" si="32"/>
        <v>#REF!</v>
      </c>
      <c r="AR44" s="473" t="e">
        <f t="shared" si="33"/>
        <v>#REF!</v>
      </c>
      <c r="AS44" s="474" t="e">
        <f t="shared" si="34"/>
        <v>#REF!</v>
      </c>
      <c r="AT44" s="4" t="e">
        <f t="shared" ca="1" si="35"/>
        <v>#REF!</v>
      </c>
    </row>
    <row r="45" spans="1:47" s="4" customFormat="1" x14ac:dyDescent="0.2">
      <c r="A45" s="214" t="s">
        <v>99</v>
      </c>
      <c r="B45" s="433" t="s">
        <v>488</v>
      </c>
      <c r="C45" s="562">
        <v>543.54330708661416</v>
      </c>
      <c r="D45" s="164"/>
      <c r="E45">
        <v>22.63</v>
      </c>
      <c r="F45">
        <v>0</v>
      </c>
      <c r="G45">
        <v>2063.87</v>
      </c>
      <c r="H45" s="293"/>
      <c r="I45" s="295"/>
      <c r="J45" s="294">
        <v>0</v>
      </c>
      <c r="K45">
        <v>32.5</v>
      </c>
      <c r="L45" s="296"/>
      <c r="M45" s="551">
        <v>1373.98</v>
      </c>
      <c r="N45" s="551">
        <v>543.11</v>
      </c>
      <c r="O45" s="212"/>
      <c r="P45" s="551">
        <v>652.37</v>
      </c>
      <c r="Q45" s="551">
        <v>157.78</v>
      </c>
      <c r="R45" s="551">
        <v>181.24</v>
      </c>
      <c r="S45" s="490">
        <f t="shared" si="20"/>
        <v>4813.74</v>
      </c>
      <c r="T45" s="469" t="e">
        <f t="shared" si="21"/>
        <v>#REF!</v>
      </c>
      <c r="U45" s="469" t="e">
        <f>$V$32 + IF($B$2="mil",1,0.0254)*DDR2Specs!$E$9</f>
        <v>#REF!</v>
      </c>
      <c r="V45" s="492" t="e">
        <f>$U$32 + IF($B$2="mil",1,0.0254)*DDR2Specs!$F$9</f>
        <v>#REF!</v>
      </c>
      <c r="W45" s="491" t="e">
        <f t="shared" si="12"/>
        <v>#REF!</v>
      </c>
      <c r="X45" s="492" t="e">
        <f t="shared" si="13"/>
        <v>#REF!</v>
      </c>
      <c r="Y45" s="490">
        <f t="shared" si="22"/>
        <v>4837.2</v>
      </c>
      <c r="Z45" s="469" t="e">
        <f t="shared" si="23"/>
        <v>#REF!</v>
      </c>
      <c r="AA45" s="469" t="e">
        <f>$AB$32 + IF($B$2="mil",1,0.0254)*DDR2Specs!$E$9</f>
        <v>#REF!</v>
      </c>
      <c r="AB45" s="469" t="e">
        <f>$AA$32 + IF($B$2="mil",1,0.0254)*DDR2Specs!$F$9</f>
        <v>#REF!</v>
      </c>
      <c r="AC45" s="491" t="e">
        <f t="shared" si="14"/>
        <v>#REF!</v>
      </c>
      <c r="AD45" s="492" t="e">
        <f t="shared" si="15"/>
        <v>#REF!</v>
      </c>
      <c r="AE45" s="472" t="e">
        <f t="shared" si="24"/>
        <v>#REF!</v>
      </c>
      <c r="AF45" s="473" t="e">
        <f t="shared" si="16"/>
        <v>#REF!</v>
      </c>
      <c r="AG45" s="473" t="e">
        <f t="shared" si="17"/>
        <v>#REF!</v>
      </c>
      <c r="AH45" s="473" t="e">
        <f t="shared" ca="1" si="25"/>
        <v>#NAME?</v>
      </c>
      <c r="AI45" s="473" t="e">
        <f t="shared" si="26"/>
        <v>#REF!</v>
      </c>
      <c r="AJ45" s="473" t="e">
        <f t="shared" si="27"/>
        <v>#REF!</v>
      </c>
      <c r="AK45" s="473" t="e">
        <f t="shared" si="18"/>
        <v>#REF!</v>
      </c>
      <c r="AL45" s="473" t="e">
        <f t="shared" si="28"/>
        <v>#REF!</v>
      </c>
      <c r="AM45" s="473" t="e">
        <f t="shared" si="19"/>
        <v>#REF!</v>
      </c>
      <c r="AN45" s="473" t="e">
        <f t="shared" ca="1" si="29"/>
        <v>#NAME?</v>
      </c>
      <c r="AO45" s="473" t="e">
        <f t="shared" ca="1" si="30"/>
        <v>#NAME?</v>
      </c>
      <c r="AP45" s="473" t="e">
        <f t="shared" si="31"/>
        <v>#REF!</v>
      </c>
      <c r="AQ45" s="473" t="e">
        <f t="shared" si="32"/>
        <v>#REF!</v>
      </c>
      <c r="AR45" s="473" t="e">
        <f t="shared" si="33"/>
        <v>#REF!</v>
      </c>
      <c r="AS45" s="474" t="e">
        <f t="shared" si="34"/>
        <v>#REF!</v>
      </c>
      <c r="AT45" s="4" t="e">
        <f t="shared" ca="1" si="35"/>
        <v>#REF!</v>
      </c>
    </row>
    <row r="46" spans="1:47" s="4" customFormat="1" x14ac:dyDescent="0.2">
      <c r="A46" s="214" t="s">
        <v>100</v>
      </c>
      <c r="B46" s="433" t="s">
        <v>489</v>
      </c>
      <c r="C46" s="562">
        <v>492.79527559055117</v>
      </c>
      <c r="D46" s="164"/>
      <c r="E46">
        <v>22.63</v>
      </c>
      <c r="F46">
        <v>0</v>
      </c>
      <c r="G46">
        <v>2110.69</v>
      </c>
      <c r="H46" s="293"/>
      <c r="I46" s="295"/>
      <c r="J46" s="294">
        <v>0</v>
      </c>
      <c r="K46">
        <v>84.57</v>
      </c>
      <c r="L46" s="296"/>
      <c r="M46" s="551">
        <v>1682.43</v>
      </c>
      <c r="N46" s="551">
        <v>576.96</v>
      </c>
      <c r="O46" s="212"/>
      <c r="P46" s="551">
        <v>656.89</v>
      </c>
      <c r="Q46" s="551">
        <v>170.19</v>
      </c>
      <c r="R46" s="551">
        <v>237.45</v>
      </c>
      <c r="S46" s="490">
        <f t="shared" si="20"/>
        <v>5219.79</v>
      </c>
      <c r="T46" s="469" t="e">
        <f t="shared" si="21"/>
        <v>#REF!</v>
      </c>
      <c r="U46" s="469" t="e">
        <f>$V$32 + IF($B$2="mil",1,0.0254)*DDR2Specs!$E$9</f>
        <v>#REF!</v>
      </c>
      <c r="V46" s="492" t="e">
        <f>$U$32 + IF($B$2="mil",1,0.0254)*DDR2Specs!$F$9</f>
        <v>#REF!</v>
      </c>
      <c r="W46" s="491" t="e">
        <f t="shared" si="12"/>
        <v>#REF!</v>
      </c>
      <c r="X46" s="492" t="e">
        <f t="shared" si="13"/>
        <v>#REF!</v>
      </c>
      <c r="Y46" s="490">
        <f t="shared" si="22"/>
        <v>5287.05</v>
      </c>
      <c r="Z46" s="469" t="e">
        <f t="shared" si="23"/>
        <v>#REF!</v>
      </c>
      <c r="AA46" s="469" t="e">
        <f>$AB$32 + IF($B$2="mil",1,0.0254)*DDR2Specs!$E$9</f>
        <v>#REF!</v>
      </c>
      <c r="AB46" s="469" t="e">
        <f>$AA$32 + IF($B$2="mil",1,0.0254)*DDR2Specs!$F$9</f>
        <v>#REF!</v>
      </c>
      <c r="AC46" s="491" t="e">
        <f t="shared" si="14"/>
        <v>#REF!</v>
      </c>
      <c r="AD46" s="492" t="e">
        <f t="shared" si="15"/>
        <v>#REF!</v>
      </c>
      <c r="AE46" s="472" t="e">
        <f t="shared" si="24"/>
        <v>#REF!</v>
      </c>
      <c r="AF46" s="473" t="e">
        <f t="shared" si="16"/>
        <v>#REF!</v>
      </c>
      <c r="AG46" s="473" t="e">
        <f t="shared" si="17"/>
        <v>#REF!</v>
      </c>
      <c r="AH46" s="473" t="e">
        <f t="shared" ca="1" si="25"/>
        <v>#NAME?</v>
      </c>
      <c r="AI46" s="473" t="e">
        <f t="shared" si="26"/>
        <v>#REF!</v>
      </c>
      <c r="AJ46" s="473" t="e">
        <f t="shared" si="27"/>
        <v>#REF!</v>
      </c>
      <c r="AK46" s="473" t="e">
        <f t="shared" si="18"/>
        <v>#REF!</v>
      </c>
      <c r="AL46" s="473" t="e">
        <f t="shared" si="28"/>
        <v>#REF!</v>
      </c>
      <c r="AM46" s="473" t="e">
        <f t="shared" si="19"/>
        <v>#REF!</v>
      </c>
      <c r="AN46" s="473" t="e">
        <f t="shared" ca="1" si="29"/>
        <v>#NAME?</v>
      </c>
      <c r="AO46" s="473" t="e">
        <f t="shared" ca="1" si="30"/>
        <v>#NAME?</v>
      </c>
      <c r="AP46" s="473" t="e">
        <f t="shared" si="31"/>
        <v>#REF!</v>
      </c>
      <c r="AQ46" s="473" t="e">
        <f t="shared" si="32"/>
        <v>#REF!</v>
      </c>
      <c r="AR46" s="473" t="e">
        <f t="shared" si="33"/>
        <v>#REF!</v>
      </c>
      <c r="AS46" s="474" t="e">
        <f t="shared" si="34"/>
        <v>#REF!</v>
      </c>
      <c r="AT46" s="4" t="e">
        <f t="shared" ca="1" si="35"/>
        <v>#REF!</v>
      </c>
    </row>
    <row r="47" spans="1:47" s="4" customFormat="1" x14ac:dyDescent="0.2">
      <c r="A47" s="214" t="s">
        <v>101</v>
      </c>
      <c r="B47" s="433" t="s">
        <v>380</v>
      </c>
      <c r="C47" s="562">
        <v>514.48818897637796</v>
      </c>
      <c r="D47" s="164"/>
      <c r="E47">
        <v>22.63</v>
      </c>
      <c r="F47">
        <v>0</v>
      </c>
      <c r="G47">
        <v>2153.7399999999998</v>
      </c>
      <c r="H47" s="293"/>
      <c r="I47" s="295"/>
      <c r="J47" s="294">
        <v>0</v>
      </c>
      <c r="K47">
        <v>40.78</v>
      </c>
      <c r="L47" s="296"/>
      <c r="M47" s="551">
        <v>1425.4</v>
      </c>
      <c r="N47" s="551">
        <v>504.28</v>
      </c>
      <c r="O47" s="212"/>
      <c r="P47" s="551">
        <v>651.33000000000004</v>
      </c>
      <c r="Q47" s="551">
        <v>169.13</v>
      </c>
      <c r="R47" s="551">
        <v>198.17</v>
      </c>
      <c r="S47" s="490">
        <f t="shared" si="20"/>
        <v>4926.51</v>
      </c>
      <c r="T47" s="469" t="e">
        <f t="shared" si="21"/>
        <v>#REF!</v>
      </c>
      <c r="U47" s="469" t="e">
        <f>$V$32 + IF($B$2="mil",1,0.0254)*DDR2Specs!$E$9</f>
        <v>#REF!</v>
      </c>
      <c r="V47" s="492" t="e">
        <f>$U$32 + IF($B$2="mil",1,0.0254)*DDR2Specs!$F$9</f>
        <v>#REF!</v>
      </c>
      <c r="W47" s="491" t="e">
        <f t="shared" si="12"/>
        <v>#REF!</v>
      </c>
      <c r="X47" s="492" t="e">
        <f t="shared" si="13"/>
        <v>#REF!</v>
      </c>
      <c r="Y47" s="490">
        <f t="shared" si="22"/>
        <v>4955.55</v>
      </c>
      <c r="Z47" s="469" t="e">
        <f t="shared" si="23"/>
        <v>#REF!</v>
      </c>
      <c r="AA47" s="469" t="e">
        <f>$AB$32 + IF($B$2="mil",1,0.0254)*DDR2Specs!$E$9</f>
        <v>#REF!</v>
      </c>
      <c r="AB47" s="469" t="e">
        <f>$AA$32 + IF($B$2="mil",1,0.0254)*DDR2Specs!$F$9</f>
        <v>#REF!</v>
      </c>
      <c r="AC47" s="491" t="e">
        <f t="shared" si="14"/>
        <v>#REF!</v>
      </c>
      <c r="AD47" s="492" t="e">
        <f t="shared" si="15"/>
        <v>#REF!</v>
      </c>
      <c r="AE47" s="472" t="e">
        <f t="shared" si="24"/>
        <v>#REF!</v>
      </c>
      <c r="AF47" s="473" t="e">
        <f t="shared" si="16"/>
        <v>#REF!</v>
      </c>
      <c r="AG47" s="473" t="e">
        <f t="shared" si="17"/>
        <v>#REF!</v>
      </c>
      <c r="AH47" s="473" t="e">
        <f t="shared" ca="1" si="25"/>
        <v>#NAME?</v>
      </c>
      <c r="AI47" s="473" t="e">
        <f t="shared" si="26"/>
        <v>#REF!</v>
      </c>
      <c r="AJ47" s="473" t="e">
        <f t="shared" si="27"/>
        <v>#REF!</v>
      </c>
      <c r="AK47" s="473" t="e">
        <f t="shared" si="18"/>
        <v>#REF!</v>
      </c>
      <c r="AL47" s="473" t="e">
        <f t="shared" si="28"/>
        <v>#REF!</v>
      </c>
      <c r="AM47" s="473" t="e">
        <f t="shared" si="19"/>
        <v>#REF!</v>
      </c>
      <c r="AN47" s="473" t="e">
        <f t="shared" ca="1" si="29"/>
        <v>#NAME?</v>
      </c>
      <c r="AO47" s="473" t="e">
        <f t="shared" ca="1" si="30"/>
        <v>#NAME?</v>
      </c>
      <c r="AP47" s="473" t="e">
        <f t="shared" si="31"/>
        <v>#REF!</v>
      </c>
      <c r="AQ47" s="473" t="e">
        <f t="shared" si="32"/>
        <v>#REF!</v>
      </c>
      <c r="AR47" s="473" t="e">
        <f t="shared" si="33"/>
        <v>#REF!</v>
      </c>
      <c r="AS47" s="474" t="e">
        <f t="shared" si="34"/>
        <v>#REF!</v>
      </c>
      <c r="AT47" s="4" t="e">
        <f t="shared" ca="1" si="35"/>
        <v>#REF!</v>
      </c>
    </row>
    <row r="48" spans="1:47" s="4" customFormat="1" ht="11.25" x14ac:dyDescent="0.2">
      <c r="A48" s="180" t="s">
        <v>278</v>
      </c>
      <c r="B48" s="180"/>
      <c r="C48" s="566"/>
      <c r="D48" s="155"/>
      <c r="E48" s="134"/>
      <c r="F48" s="181"/>
      <c r="G48" s="298"/>
      <c r="H48" s="298"/>
      <c r="I48" s="299"/>
      <c r="J48" s="298"/>
      <c r="K48" s="298"/>
      <c r="L48" s="298"/>
      <c r="M48" s="298"/>
      <c r="N48" s="298"/>
      <c r="O48" s="159"/>
      <c r="P48" s="555"/>
      <c r="Q48" s="555"/>
      <c r="R48" s="555"/>
      <c r="S48" s="182"/>
      <c r="T48" s="182"/>
      <c r="U48" s="182"/>
      <c r="V48" s="515"/>
      <c r="W48" s="385"/>
      <c r="X48" s="385"/>
      <c r="Y48" s="385"/>
      <c r="Z48" s="385"/>
      <c r="AA48" s="385"/>
      <c r="AB48" s="385"/>
      <c r="AC48" s="385"/>
      <c r="AD48" s="385"/>
      <c r="AE48" s="385"/>
      <c r="AF48" s="493"/>
      <c r="AG48" s="155"/>
      <c r="AH48" s="155"/>
      <c r="AI48" s="155"/>
      <c r="AJ48" s="155"/>
      <c r="AK48" s="155"/>
      <c r="AL48" s="155"/>
      <c r="AM48" s="155"/>
      <c r="AN48" s="155"/>
      <c r="AO48" s="155"/>
      <c r="AP48" s="155"/>
      <c r="AQ48" s="385"/>
      <c r="AR48" s="155"/>
      <c r="AS48" s="506"/>
    </row>
    <row r="49" spans="1:47" s="4" customFormat="1" x14ac:dyDescent="0.2">
      <c r="A49" s="161" t="s">
        <v>102</v>
      </c>
      <c r="B49" s="433" t="s">
        <v>490</v>
      </c>
      <c r="C49" s="562">
        <v>428.58267716535431</v>
      </c>
      <c r="D49" s="164"/>
      <c r="E49">
        <v>22.63</v>
      </c>
      <c r="F49">
        <v>0</v>
      </c>
      <c r="G49">
        <v>2396.7800000000002</v>
      </c>
      <c r="H49" s="301"/>
      <c r="I49" s="295"/>
      <c r="J49" s="301">
        <v>0</v>
      </c>
      <c r="K49" s="551">
        <v>53.71</v>
      </c>
      <c r="L49" s="296"/>
      <c r="M49" s="551">
        <v>1284.8900000000001</v>
      </c>
      <c r="N49" s="551">
        <v>495.02</v>
      </c>
      <c r="O49" s="212"/>
      <c r="P49" s="551">
        <v>683.57</v>
      </c>
      <c r="Q49" s="551">
        <v>98.19</v>
      </c>
      <c r="R49" s="551">
        <v>148.94999999999999</v>
      </c>
      <c r="S49" s="490">
        <f t="shared" si="20"/>
        <v>4981.079999999999</v>
      </c>
      <c r="T49" s="469" t="e">
        <f t="shared" si="21"/>
        <v>#REF!</v>
      </c>
      <c r="U49" s="469" t="e">
        <f>$V$32 + IF($B$2="mil",1,0.0254)*DDR2Specs!$E$9</f>
        <v>#REF!</v>
      </c>
      <c r="V49" s="492" t="e">
        <f>$U$32 + IF($B$2="mil",1,0.0254)*DDR2Specs!$F$9</f>
        <v>#REF!</v>
      </c>
      <c r="W49" s="491" t="e">
        <f>IF($T49&lt;$U49,$U49-$T49,"Pass")</f>
        <v>#REF!</v>
      </c>
      <c r="X49" s="492" t="e">
        <f>IF($T49&gt;$V49,$T49-$V49,"Pass")</f>
        <v>#REF!</v>
      </c>
      <c r="Y49" s="490">
        <f t="shared" si="22"/>
        <v>5031.8399999999992</v>
      </c>
      <c r="Z49" s="469" t="e">
        <f t="shared" si="23"/>
        <v>#REF!</v>
      </c>
      <c r="AA49" s="469" t="e">
        <f>$AB$32 + IF($B$2="mil",1,0.0254)*DDR2Specs!$E$9</f>
        <v>#REF!</v>
      </c>
      <c r="AB49" s="469" t="e">
        <f>$AA$32 + IF($B$2="mil",1,0.0254)*DDR2Specs!$F$9</f>
        <v>#REF!</v>
      </c>
      <c r="AC49" s="491" t="e">
        <f>IF($Z49&lt;$AA49,$AA49-$Z49,"Pass")</f>
        <v>#REF!</v>
      </c>
      <c r="AD49" s="492" t="e">
        <f>IF($Z49&gt;$AB49,$Z49-$AB49,"Pass")</f>
        <v>#REF!</v>
      </c>
      <c r="AE49" s="472" t="e">
        <f>IF($E49&lt;=IF($B$2="mil",1,0.0254)*50,"Pass",IF($B$2="mil",1,0.0254)*50-$E49)</f>
        <v>#REF!</v>
      </c>
      <c r="AF49" s="473" t="e">
        <f>IF($F49&lt;=IF($B$2="mil",1,0.0254)*500,"Pass",IF($B$2="mil",1,0.0254)*500-$F49)</f>
        <v>#REF!</v>
      </c>
      <c r="AG49" s="473" t="e">
        <f>IF($J49&lt;=IF($B$2="mil",1,0.0254)*1000,"Pass",IF($B$2="mil",1,0.0254)*1000-$J49)</f>
        <v>#REF!</v>
      </c>
      <c r="AH49" s="473" t="e">
        <f ca="1">CheckLength2(1200,J49,K49,0)</f>
        <v>#NAME?</v>
      </c>
      <c r="AI49" s="473" t="e">
        <f>IF(M49&lt;=IF($B$2="mil",1,0.0254)*2000,"Pass",IF($B$2="mil",1,0.0254)*2000-M49)</f>
        <v>#REF!</v>
      </c>
      <c r="AJ49" s="473" t="e">
        <f>IF(N49&lt;=IF($B$2="mil",1,0.0254)*1000,"Pass",IF($B$2="mil",1,0.0254)*1000-N49)</f>
        <v>#REF!</v>
      </c>
      <c r="AK49" s="473" t="e">
        <f>IF(MAX(N49,P101)-MIN(N49,P101)&lt;=IF($B$2="mil",1,0.0254)*50,"Pass",MAX(N49,P101)-MIN(N49,P101)-IF($B$2="mil",1,0.0254)*50)</f>
        <v>#REF!</v>
      </c>
      <c r="AL49" s="473" t="e">
        <f>IF($P49&lt;=IF($B$2="mil",1,0.0254)*1000,"Pass",IF($B$2="mil",1,0.0254)*1000-$P49)</f>
        <v>#REF!</v>
      </c>
      <c r="AM49" s="473" t="e">
        <f>IF(MAX(P49,P127)-MIN(P49,P127)&lt;=IF($B$2="mil",1,0.0254)*50,"Pass",MAX(P49,P127)-MIN(P49,P127)-IF($B$2="mil",1,0.0254)*50)</f>
        <v>#REF!</v>
      </c>
      <c r="AN49" s="473" t="e">
        <f ca="1">CheckLength2(IF($B$2="mil",1,0.0254)*1200,P49,Q49,0)</f>
        <v>#NAME?</v>
      </c>
      <c r="AO49" s="473" t="e">
        <f ca="1">CheckLength2(IF($B$2="mil",1,0.0254)*1200,P49,R49,0)</f>
        <v>#NAME?</v>
      </c>
      <c r="AP49" s="473" t="e">
        <f>IF(AND($S49&gt;=IF($B$2="mil",1,0.0254)*500, $S49&lt;=IF($B$2="mil",1,0.0254)*6500),"Pass",IF($B$2="mil",1,0.0254)*6500-$S49)</f>
        <v>#REF!</v>
      </c>
      <c r="AQ49" s="473" t="e">
        <f>IF(AND($T49&gt;=IF($B$2="mil",1,0.0254)*500, $T49&lt;=IF($B$2="mil",1,0.0254)*7000),"Pass",IF($B$2="mil",1,0.0254)*7000-$T49)</f>
        <v>#REF!</v>
      </c>
      <c r="AR49" s="473" t="e">
        <f>IF(AND($Y49&gt;=IF($B$2="mil",1,0.0254)*500, $Y49&lt;=IF($B$2="mil",1,0.0254)*6500),"Pass",IF($B$2="mil",1,0.0254)*6500-$Y49)</f>
        <v>#REF!</v>
      </c>
      <c r="AS49" s="474" t="e">
        <f>IF(AND($Z49&gt;=IF($B$2="mil",1,0.0254)*500, $Z49&lt;=IF($B$2="mil",1,0.0254)*7000),"Pass",IF($B$2="mil",1,0.0254)*7000-$Z49)</f>
        <v>#REF!</v>
      </c>
      <c r="AT49" s="4" t="e">
        <f t="shared" ca="1" si="35"/>
        <v>#REF!</v>
      </c>
    </row>
    <row r="50" spans="1:47" s="4" customFormat="1" x14ac:dyDescent="0.2">
      <c r="A50" s="215" t="s">
        <v>103</v>
      </c>
      <c r="B50" s="433" t="s">
        <v>414</v>
      </c>
      <c r="C50" s="562">
        <v>331.69291338582678</v>
      </c>
      <c r="D50" s="236"/>
      <c r="E50">
        <v>22.63</v>
      </c>
      <c r="F50">
        <v>0</v>
      </c>
      <c r="G50">
        <v>2100.77</v>
      </c>
      <c r="H50" s="301"/>
      <c r="I50" s="295"/>
      <c r="J50" s="301">
        <v>0</v>
      </c>
      <c r="K50" s="551">
        <v>86.64</v>
      </c>
      <c r="L50" s="296"/>
      <c r="M50" s="551">
        <v>1717.92</v>
      </c>
      <c r="N50" s="551">
        <v>491.61</v>
      </c>
      <c r="O50" s="212"/>
      <c r="P50" s="551">
        <v>709.63</v>
      </c>
      <c r="Q50" s="551">
        <v>70.63</v>
      </c>
      <c r="R50" s="551">
        <v>139.15</v>
      </c>
      <c r="S50" s="490">
        <f t="shared" si="20"/>
        <v>5113.1899999999996</v>
      </c>
      <c r="T50" s="469" t="e">
        <f t="shared" si="21"/>
        <v>#REF!</v>
      </c>
      <c r="U50" s="469" t="e">
        <f>$V$32 + IF($B$2="mil",1,0.0254)*DDR2Specs!$E$9</f>
        <v>#REF!</v>
      </c>
      <c r="V50" s="492" t="e">
        <f>$U$32 + IF($B$2="mil",1,0.0254)*DDR2Specs!$F$9</f>
        <v>#REF!</v>
      </c>
      <c r="W50" s="491" t="e">
        <f>IF($T50&lt;$U50,$U50-$T50,"Pass")</f>
        <v>#REF!</v>
      </c>
      <c r="X50" s="492" t="e">
        <f>IF($T50&gt;$V50,$T50-$V50,"Pass")</f>
        <v>#REF!</v>
      </c>
      <c r="Y50" s="490">
        <f t="shared" si="22"/>
        <v>5181.7099999999991</v>
      </c>
      <c r="Z50" s="469" t="e">
        <f t="shared" si="23"/>
        <v>#REF!</v>
      </c>
      <c r="AA50" s="469" t="e">
        <f>$AB$32 + IF($B$2="mil",1,0.0254)*DDR2Specs!$E$9</f>
        <v>#REF!</v>
      </c>
      <c r="AB50" s="469" t="e">
        <f>$AA$32 + IF($B$2="mil",1,0.0254)*DDR2Specs!$F$9</f>
        <v>#REF!</v>
      </c>
      <c r="AC50" s="491" t="e">
        <f>IF($Z50&lt;$AA50,$AA50-$Z50,"Pass")</f>
        <v>#REF!</v>
      </c>
      <c r="AD50" s="492" t="e">
        <f>IF($Z50&gt;$AB50,$Z50-$AB50,"Pass")</f>
        <v>#REF!</v>
      </c>
      <c r="AE50" s="472" t="e">
        <f>IF($E50&lt;=IF($B$2="mil",1,0.0254)*50,"Pass",IF($B$2="mil",1,0.0254)*50-$E50)</f>
        <v>#REF!</v>
      </c>
      <c r="AF50" s="473" t="e">
        <f>IF($F50&lt;=IF($B$2="mil",1,0.0254)*500,"Pass",IF($B$2="mil",1,0.0254)*500-$F50)</f>
        <v>#REF!</v>
      </c>
      <c r="AG50" s="473" t="e">
        <f>IF($J50&lt;=IF($B$2="mil",1,0.0254)*1000,"Pass",IF($B$2="mil",1,0.0254)*1000-$J50)</f>
        <v>#REF!</v>
      </c>
      <c r="AH50" s="473" t="e">
        <f ca="1">CheckLength2(1200,J50,K50,0)</f>
        <v>#NAME?</v>
      </c>
      <c r="AI50" s="473" t="e">
        <f>IF(M50&lt;=IF($B$2="mil",1,0.0254)*2000,"Pass",IF($B$2="mil",1,0.0254)*2000-M50)</f>
        <v>#REF!</v>
      </c>
      <c r="AJ50" s="473" t="e">
        <f>IF(N50&lt;=IF($B$2="mil",1,0.0254)*1000,"Pass",IF($B$2="mil",1,0.0254)*1000-N50)</f>
        <v>#REF!</v>
      </c>
      <c r="AK50" s="473" t="e">
        <f>IF(MAX(N50,P102)-MIN(N50,P102)&lt;=IF($B$2="mil",1,0.0254)*50,"Pass",MAX(N50,P102)-MIN(N50,P102)-IF($B$2="mil",1,0.0254)*50)</f>
        <v>#REF!</v>
      </c>
      <c r="AL50" s="473" t="e">
        <f>IF($P50&lt;=IF($B$2="mil",1,0.0254)*1000,"Pass",IF($B$2="mil",1,0.0254)*1000-$P50)</f>
        <v>#REF!</v>
      </c>
      <c r="AM50" s="473" t="e">
        <f>IF(MAX(P50,P128)-MIN(P50,P128)&lt;=IF($B$2="mil",1,0.0254)*50,"Pass",MAX(P50,P128)-MIN(P50,P128)-IF($B$2="mil",1,0.0254)*50)</f>
        <v>#REF!</v>
      </c>
      <c r="AN50" s="473" t="e">
        <f ca="1">CheckLength2(IF($B$2="mil",1,0.0254)*1200,P50,Q50,0)</f>
        <v>#NAME?</v>
      </c>
      <c r="AO50" s="473" t="e">
        <f ca="1">CheckLength2(IF($B$2="mil",1,0.0254)*1200,P50,R50,0)</f>
        <v>#NAME?</v>
      </c>
      <c r="AP50" s="473" t="e">
        <f>IF(AND($S50&gt;=IF($B$2="mil",1,0.0254)*500, $S50&lt;=IF($B$2="mil",1,0.0254)*6500),"Pass",IF($B$2="mil",1,0.0254)*6500-$S50)</f>
        <v>#REF!</v>
      </c>
      <c r="AQ50" s="473" t="e">
        <f>IF(AND($T50&gt;=IF($B$2="mil",1,0.0254)*500, $T50&lt;=IF($B$2="mil",1,0.0254)*7000),"Pass",IF($B$2="mil",1,0.0254)*7000-$T50)</f>
        <v>#REF!</v>
      </c>
      <c r="AR50" s="473" t="e">
        <f>IF(AND($Y50&gt;=IF($B$2="mil",1,0.0254)*500, $Y50&lt;=IF($B$2="mil",1,0.0254)*6500),"Pass",IF($B$2="mil",1,0.0254)*6500-$Y50)</f>
        <v>#REF!</v>
      </c>
      <c r="AS50" s="474" t="e">
        <f>IF(AND($Z50&gt;=IF($B$2="mil",1,0.0254)*500, $Z50&lt;=IF($B$2="mil",1,0.0254)*7000),"Pass",IF($B$2="mil",1,0.0254)*7000-$Z50)</f>
        <v>#REF!</v>
      </c>
      <c r="AT50" s="4" t="e">
        <f t="shared" ca="1" si="35"/>
        <v>#REF!</v>
      </c>
    </row>
    <row r="51" spans="1:47" s="4" customFormat="1" x14ac:dyDescent="0.2">
      <c r="A51" s="215" t="s">
        <v>104</v>
      </c>
      <c r="B51" s="433" t="s">
        <v>491</v>
      </c>
      <c r="C51" s="562">
        <v>384.5275590551181</v>
      </c>
      <c r="D51" s="190"/>
      <c r="E51">
        <v>22.63</v>
      </c>
      <c r="F51">
        <v>0</v>
      </c>
      <c r="G51">
        <v>2096.4</v>
      </c>
      <c r="H51" s="301"/>
      <c r="I51" s="295"/>
      <c r="J51" s="301">
        <v>0</v>
      </c>
      <c r="K51" s="551">
        <v>36.64</v>
      </c>
      <c r="L51" s="296"/>
      <c r="M51" s="551">
        <v>1593.17</v>
      </c>
      <c r="N51" s="551">
        <v>597.14</v>
      </c>
      <c r="O51" s="212"/>
      <c r="P51" s="551">
        <v>695.96</v>
      </c>
      <c r="Q51" s="551">
        <v>153.29</v>
      </c>
      <c r="R51" s="551">
        <v>175.61</v>
      </c>
      <c r="S51" s="490">
        <f t="shared" si="20"/>
        <v>5158.59</v>
      </c>
      <c r="T51" s="469" t="e">
        <f t="shared" si="21"/>
        <v>#REF!</v>
      </c>
      <c r="U51" s="469" t="e">
        <f>$V$32 + IF($B$2="mil",1,0.0254)*DDR2Specs!$E$9</f>
        <v>#REF!</v>
      </c>
      <c r="V51" s="492" t="e">
        <f>$U$32 + IF($B$2="mil",1,0.0254)*DDR2Specs!$F$9</f>
        <v>#REF!</v>
      </c>
      <c r="W51" s="491" t="e">
        <f>IF($T51&lt;$U51,$U51-$T51,"Pass")</f>
        <v>#REF!</v>
      </c>
      <c r="X51" s="492" t="e">
        <f>IF($T51&gt;$V51,$T51-$V51,"Pass")</f>
        <v>#REF!</v>
      </c>
      <c r="Y51" s="490">
        <f t="shared" si="22"/>
        <v>5180.91</v>
      </c>
      <c r="Z51" s="469" t="e">
        <f t="shared" si="23"/>
        <v>#REF!</v>
      </c>
      <c r="AA51" s="469" t="e">
        <f>$AB$32 + IF($B$2="mil",1,0.0254)*DDR2Specs!$E$9</f>
        <v>#REF!</v>
      </c>
      <c r="AB51" s="469" t="e">
        <f>$AA$32 + IF($B$2="mil",1,0.0254)*DDR2Specs!$F$9</f>
        <v>#REF!</v>
      </c>
      <c r="AC51" s="491" t="e">
        <f>IF($Z51&lt;$AA51,$AA51-$Z51,"Pass")</f>
        <v>#REF!</v>
      </c>
      <c r="AD51" s="492" t="e">
        <f>IF($Z51&gt;$AB51,$Z51-$AB51,"Pass")</f>
        <v>#REF!</v>
      </c>
      <c r="AE51" s="472" t="e">
        <f>IF($E51&lt;=IF($B$2="mil",1,0.0254)*50,"Pass",IF($B$2="mil",1,0.0254)*50-$E51)</f>
        <v>#REF!</v>
      </c>
      <c r="AF51" s="473" t="e">
        <f>IF($F51&lt;=IF($B$2="mil",1,0.0254)*500,"Pass",IF($B$2="mil",1,0.0254)*500-$F51)</f>
        <v>#REF!</v>
      </c>
      <c r="AG51" s="473" t="e">
        <f>IF($J51&lt;=IF($B$2="mil",1,0.0254)*1000,"Pass",IF($B$2="mil",1,0.0254)*1000-$J51)</f>
        <v>#REF!</v>
      </c>
      <c r="AH51" s="473" t="e">
        <f ca="1">CheckLength2(1200,J51,K51,0)</f>
        <v>#NAME?</v>
      </c>
      <c r="AI51" s="473" t="e">
        <f>IF(M51&lt;=IF($B$2="mil",1,0.0254)*2000,"Pass",IF($B$2="mil",1,0.0254)*2000-M51)</f>
        <v>#REF!</v>
      </c>
      <c r="AJ51" s="473" t="e">
        <f>IF(N51&lt;=IF($B$2="mil",1,0.0254)*1000,"Pass",IF($B$2="mil",1,0.0254)*1000-N51)</f>
        <v>#REF!</v>
      </c>
      <c r="AK51" s="473" t="e">
        <f>IF(MAX(N51,P103)-MIN(N51,P103)&lt;=IF($B$2="mil",1,0.0254)*50,"Pass",MAX(N51,P103)-MIN(N51,P103)-IF($B$2="mil",1,0.0254)*50)</f>
        <v>#REF!</v>
      </c>
      <c r="AL51" s="473" t="e">
        <f>IF($P51&lt;=IF($B$2="mil",1,0.0254)*1000,"Pass",IF($B$2="mil",1,0.0254)*1000-$P51)</f>
        <v>#REF!</v>
      </c>
      <c r="AM51" s="473" t="e">
        <f>IF(MAX(P51,P129)-MIN(P51,P129)&lt;=IF($B$2="mil",1,0.0254)*50,"Pass",MAX(P51,P129)-MIN(P51,P129)-IF($B$2="mil",1,0.0254)*50)</f>
        <v>#REF!</v>
      </c>
      <c r="AN51" s="473" t="e">
        <f ca="1">CheckLength2(IF($B$2="mil",1,0.0254)*1200,P51,Q51,0)</f>
        <v>#NAME?</v>
      </c>
      <c r="AO51" s="473" t="e">
        <f ca="1">CheckLength2(IF($B$2="mil",1,0.0254)*1200,P51,R51,0)</f>
        <v>#NAME?</v>
      </c>
      <c r="AP51" s="473" t="e">
        <f>IF(AND($S51&gt;=IF($B$2="mil",1,0.0254)*500, $S51&lt;=IF($B$2="mil",1,0.0254)*6500),"Pass",IF($B$2="mil",1,0.0254)*6500-$S51)</f>
        <v>#REF!</v>
      </c>
      <c r="AQ51" s="473" t="e">
        <f>IF(AND($T51&gt;=IF($B$2="mil",1,0.0254)*500, $T51&lt;=IF($B$2="mil",1,0.0254)*7000),"Pass",IF($B$2="mil",1,0.0254)*7000-$T51)</f>
        <v>#REF!</v>
      </c>
      <c r="AR51" s="473" t="e">
        <f>IF(AND($Y51&gt;=IF($B$2="mil",1,0.0254)*500, $Y51&lt;=IF($B$2="mil",1,0.0254)*6500),"Pass",IF($B$2="mil",1,0.0254)*6500-$Y51)</f>
        <v>#REF!</v>
      </c>
      <c r="AS51" s="474" t="e">
        <f>IF(AND($Z51&gt;=IF($B$2="mil",1,0.0254)*500, $Z51&lt;=IF($B$2="mil",1,0.0254)*7000),"Pass",IF($B$2="mil",1,0.0254)*7000-$Z51)</f>
        <v>#REF!</v>
      </c>
      <c r="AT51" s="4" t="e">
        <f t="shared" ca="1" si="35"/>
        <v>#REF!</v>
      </c>
    </row>
    <row r="52" spans="1:47" s="4" customFormat="1" ht="11.25" x14ac:dyDescent="0.2">
      <c r="A52" s="180" t="s">
        <v>279</v>
      </c>
      <c r="B52" s="180"/>
      <c r="C52" s="566"/>
      <c r="D52" s="155"/>
      <c r="E52" s="134"/>
      <c r="F52" s="181"/>
      <c r="G52" s="298"/>
      <c r="H52" s="298"/>
      <c r="I52" s="299"/>
      <c r="J52" s="298"/>
      <c r="K52" s="298"/>
      <c r="L52" s="298"/>
      <c r="M52" s="298"/>
      <c r="N52" s="555"/>
      <c r="O52" s="134"/>
      <c r="P52" s="555"/>
      <c r="Q52" s="555"/>
      <c r="R52" s="555"/>
      <c r="S52" s="182"/>
      <c r="T52" s="182"/>
      <c r="U52" s="182"/>
      <c r="V52" s="515"/>
      <c r="W52" s="385"/>
      <c r="X52" s="385"/>
      <c r="Y52" s="385"/>
      <c r="Z52" s="385"/>
      <c r="AA52" s="385"/>
      <c r="AB52" s="385"/>
      <c r="AC52" s="385"/>
      <c r="AD52" s="385"/>
      <c r="AE52" s="385"/>
      <c r="AF52" s="493"/>
      <c r="AG52" s="385"/>
      <c r="AH52" s="385"/>
      <c r="AI52" s="385"/>
      <c r="AJ52" s="385"/>
      <c r="AK52" s="385"/>
      <c r="AL52" s="385"/>
      <c r="AM52" s="385"/>
      <c r="AN52" s="385"/>
      <c r="AO52" s="385"/>
      <c r="AP52" s="385"/>
      <c r="AQ52" s="385"/>
      <c r="AR52" s="385"/>
      <c r="AS52" s="506"/>
    </row>
    <row r="53" spans="1:47" s="4" customFormat="1" x14ac:dyDescent="0.2">
      <c r="A53" s="161" t="s">
        <v>106</v>
      </c>
      <c r="B53" s="433" t="s">
        <v>476</v>
      </c>
      <c r="C53" s="562">
        <v>462.71653543307087</v>
      </c>
      <c r="D53" s="164"/>
      <c r="E53">
        <v>22.63</v>
      </c>
      <c r="F53">
        <v>0</v>
      </c>
      <c r="G53">
        <v>2005.3</v>
      </c>
      <c r="H53" s="301"/>
      <c r="I53" s="295"/>
      <c r="J53" s="301">
        <v>0</v>
      </c>
      <c r="K53" s="551">
        <v>94.93</v>
      </c>
      <c r="L53" s="296"/>
      <c r="M53" s="551">
        <v>1756.05</v>
      </c>
      <c r="N53" s="551">
        <v>425.86</v>
      </c>
      <c r="O53" s="212"/>
      <c r="P53" s="551">
        <v>690.96</v>
      </c>
      <c r="Q53" s="551">
        <v>69.92</v>
      </c>
      <c r="R53" s="551">
        <v>95.54</v>
      </c>
      <c r="S53" s="490">
        <f t="shared" si="20"/>
        <v>4970.72</v>
      </c>
      <c r="T53" s="469" t="e">
        <f t="shared" si="21"/>
        <v>#REF!</v>
      </c>
      <c r="U53" s="469" t="e">
        <f>$V$32 + IF($B$2="mil",1,0.0254)*DDR2Specs!$E$9</f>
        <v>#REF!</v>
      </c>
      <c r="V53" s="492" t="e">
        <f>$U$32 + IF($B$2="mil",1,0.0254)*DDR2Specs!$F$9</f>
        <v>#REF!</v>
      </c>
      <c r="W53" s="491" t="e">
        <f>IF($T53&lt;$U53,$U53-$T53,"Pass")</f>
        <v>#REF!</v>
      </c>
      <c r="X53" s="492" t="e">
        <f>IF($T53&gt;$V53,$T53-$V53,"Pass")</f>
        <v>#REF!</v>
      </c>
      <c r="Y53" s="490">
        <f t="shared" si="22"/>
        <v>4996.34</v>
      </c>
      <c r="Z53" s="469" t="e">
        <f t="shared" si="23"/>
        <v>#REF!</v>
      </c>
      <c r="AA53" s="469" t="e">
        <f>$AB$32 + IF($B$2="mil",1,0.0254)*DDR2Specs!$E$9</f>
        <v>#REF!</v>
      </c>
      <c r="AB53" s="469" t="e">
        <f>$AA$32 + IF($B$2="mil",1,0.0254)*DDR2Specs!$F$9</f>
        <v>#REF!</v>
      </c>
      <c r="AC53" s="491" t="e">
        <f>IF($Z53&lt;$AA53,$AA53-$Z53,"Pass")</f>
        <v>#REF!</v>
      </c>
      <c r="AD53" s="492" t="e">
        <f>IF($Z53&gt;$AB53,$Z53-$AB53,"Pass")</f>
        <v>#REF!</v>
      </c>
      <c r="AE53" s="472" t="e">
        <f>IF($E53&lt;=IF($B$2="mil",1,0.0254)*50,"Pass",IF($B$2="mil",1,0.0254)*50-$E53)</f>
        <v>#REF!</v>
      </c>
      <c r="AF53" s="473" t="e">
        <f>IF($F53&lt;=IF($B$2="mil",1,0.0254)*500,"Pass",IF($B$2="mil",1,0.0254)*500-$F53)</f>
        <v>#REF!</v>
      </c>
      <c r="AG53" s="473" t="e">
        <f>IF($J53&lt;=IF($B$2="mil",1,0.0254)*1000,"Pass",IF($B$2="mil",1,0.0254)*1000-$J53)</f>
        <v>#REF!</v>
      </c>
      <c r="AH53" s="473" t="e">
        <f ca="1">CheckLength2(1200,J53,K53,0)</f>
        <v>#NAME?</v>
      </c>
      <c r="AI53" s="473" t="e">
        <f>IF(M53&lt;=IF($B$2="mil",1,0.0254)*2000,"Pass",IF($B$2="mil",1,0.0254)*2000-M53)</f>
        <v>#REF!</v>
      </c>
      <c r="AJ53" s="473" t="e">
        <f>IF(N53&lt;=IF($B$2="mil",1,0.0254)*1000,"Pass",IF($B$2="mil",1,0.0254)*1000-N53)</f>
        <v>#REF!</v>
      </c>
      <c r="AK53" s="473" t="e">
        <f>IF(MAX(N53,P105)-MIN(N53,P105)&lt;=IF($B$2="mil",1,0.0254)*50,"Pass",MAX(N53,P105)-MIN(N53,P105)-IF($B$2="mil",1,0.0254)*50)</f>
        <v>#REF!</v>
      </c>
      <c r="AL53" s="473" t="e">
        <f>IF($P53&lt;=IF($B$2="mil",1,0.0254)*1000,"Pass",IF($B$2="mil",1,0.0254)*1000-$P53)</f>
        <v>#REF!</v>
      </c>
      <c r="AM53" s="473" t="e">
        <f>IF(MAX(P53,P131)-MIN(P53,P131)&lt;=IF($B$2="mil",1,0.0254)*50,"Pass",MAX(P53,P131)-MIN(P53,P131)-IF($B$2="mil",1,0.0254)*50)</f>
        <v>#REF!</v>
      </c>
      <c r="AN53" s="473" t="e">
        <f ca="1">CheckLength2(IF($B$2="mil",1,0.0254)*1200,P53,Q53,0)</f>
        <v>#NAME?</v>
      </c>
      <c r="AO53" s="473" t="e">
        <f ca="1">CheckLength2(IF($B$2="mil",1,0.0254)*1200,P53,R53,0)</f>
        <v>#NAME?</v>
      </c>
      <c r="AP53" s="473" t="e">
        <f>IF(AND($S53&gt;=IF($B$2="mil",1,0.0254)*500, $S53&lt;=IF($B$2="mil",1,0.0254)*6500),"Pass",IF($B$2="mil",1,0.0254)*6500-$S53)</f>
        <v>#REF!</v>
      </c>
      <c r="AQ53" s="473" t="e">
        <f>IF(AND($T53&gt;=IF($B$2="mil",1,0.0254)*500, $T53&lt;=IF($B$2="mil",1,0.0254)*7000),"Pass",IF($B$2="mil",1,0.0254)*7000-$T53)</f>
        <v>#REF!</v>
      </c>
      <c r="AR53" s="473" t="e">
        <f>IF(AND($Y53&gt;=IF($B$2="mil",1,0.0254)*500, $Y53&lt;=IF($B$2="mil",1,0.0254)*6500),"Pass",IF($B$2="mil",1,0.0254)*6500-$Y53)</f>
        <v>#REF!</v>
      </c>
      <c r="AS53" s="474" t="e">
        <f>IF(AND($Z53&gt;=IF($B$2="mil",1,0.0254)*500, $Z53&lt;=IF($B$2="mil",1,0.0254)*7000),"Pass",IF($B$2="mil",1,0.0254)*7000-$Z53)</f>
        <v>#REF!</v>
      </c>
      <c r="AT53" s="4" t="e">
        <f t="shared" ca="1" si="35"/>
        <v>#REF!</v>
      </c>
    </row>
    <row r="54" spans="1:47" s="4" customFormat="1" x14ac:dyDescent="0.2">
      <c r="A54" s="214" t="s">
        <v>107</v>
      </c>
      <c r="B54" s="433" t="s">
        <v>492</v>
      </c>
      <c r="C54" s="562">
        <v>452.16535433070862</v>
      </c>
      <c r="D54" s="164"/>
      <c r="E54">
        <v>22.63</v>
      </c>
      <c r="F54">
        <v>0</v>
      </c>
      <c r="G54">
        <v>2288.04</v>
      </c>
      <c r="H54" s="301"/>
      <c r="I54" s="295"/>
      <c r="J54" s="301">
        <v>0</v>
      </c>
      <c r="K54" s="551">
        <v>82.5</v>
      </c>
      <c r="L54" s="296"/>
      <c r="M54" s="551">
        <v>1305.94</v>
      </c>
      <c r="N54" s="551">
        <v>517.80999999999995</v>
      </c>
      <c r="O54" s="212"/>
      <c r="P54" s="551">
        <v>698.28</v>
      </c>
      <c r="Q54" s="551">
        <v>83.86</v>
      </c>
      <c r="R54" s="551">
        <v>92.89</v>
      </c>
      <c r="S54" s="490">
        <f t="shared" si="20"/>
        <v>4916.5600000000004</v>
      </c>
      <c r="T54" s="469" t="e">
        <f t="shared" si="21"/>
        <v>#REF!</v>
      </c>
      <c r="U54" s="469" t="e">
        <f>$V$32 + IF($B$2="mil",1,0.0254)*DDR2Specs!$E$9</f>
        <v>#REF!</v>
      </c>
      <c r="V54" s="492" t="e">
        <f>$U$32 + IF($B$2="mil",1,0.0254)*DDR2Specs!$F$9</f>
        <v>#REF!</v>
      </c>
      <c r="W54" s="491" t="e">
        <f>IF($T54&lt;$U54,$U54-$T54,"Pass")</f>
        <v>#REF!</v>
      </c>
      <c r="X54" s="492" t="e">
        <f>IF($T54&gt;$V54,$T54-$V54,"Pass")</f>
        <v>#REF!</v>
      </c>
      <c r="Y54" s="490">
        <f t="shared" si="22"/>
        <v>4925.5900000000011</v>
      </c>
      <c r="Z54" s="469" t="e">
        <f t="shared" si="23"/>
        <v>#REF!</v>
      </c>
      <c r="AA54" s="469" t="e">
        <f>$AB$32 + IF($B$2="mil",1,0.0254)*DDR2Specs!$E$9</f>
        <v>#REF!</v>
      </c>
      <c r="AB54" s="469" t="e">
        <f>$AA$32 + IF($B$2="mil",1,0.0254)*DDR2Specs!$F$9</f>
        <v>#REF!</v>
      </c>
      <c r="AC54" s="491" t="e">
        <f>IF($Z54&lt;$AA54,$AA54-$Z54,"Pass")</f>
        <v>#REF!</v>
      </c>
      <c r="AD54" s="492" t="e">
        <f>IF($Z54&gt;$AB54,$Z54-$AB54,"Pass")</f>
        <v>#REF!</v>
      </c>
      <c r="AE54" s="472" t="e">
        <f>IF($E54&lt;=IF($B$2="mil",1,0.0254)*50,"Pass",IF($B$2="mil",1,0.0254)*50-$E54)</f>
        <v>#REF!</v>
      </c>
      <c r="AF54" s="473" t="e">
        <f>IF($F54&lt;=IF($B$2="mil",1,0.0254)*500,"Pass",IF($B$2="mil",1,0.0254)*500-$F54)</f>
        <v>#REF!</v>
      </c>
      <c r="AG54" s="473" t="e">
        <f>IF($J54&lt;=IF($B$2="mil",1,0.0254)*1000,"Pass",IF($B$2="mil",1,0.0254)*1000-$J54)</f>
        <v>#REF!</v>
      </c>
      <c r="AH54" s="473" t="e">
        <f ca="1">CheckLength2(1200,J54,K54,0)</f>
        <v>#NAME?</v>
      </c>
      <c r="AI54" s="473" t="e">
        <f>IF(M54&lt;=IF($B$2="mil",1,0.0254)*2000,"Pass",IF($B$2="mil",1,0.0254)*2000-M54)</f>
        <v>#REF!</v>
      </c>
      <c r="AJ54" s="473" t="e">
        <f>IF(N54&lt;=IF($B$2="mil",1,0.0254)*1000,"Pass",IF($B$2="mil",1,0.0254)*1000-N54)</f>
        <v>#REF!</v>
      </c>
      <c r="AK54" s="473" t="e">
        <f>IF(MAX(N54,P106)-MIN(N54,P106)&lt;=IF($B$2="mil",1,0.0254)*50,"Pass",MAX(N54,P106)-MIN(N54,P106)-IF($B$2="mil",1,0.0254)*50)</f>
        <v>#REF!</v>
      </c>
      <c r="AL54" s="473" t="e">
        <f>IF($P54&lt;=IF($B$2="mil",1,0.0254)*1000,"Pass",IF($B$2="mil",1,0.0254)*1000-$P54)</f>
        <v>#REF!</v>
      </c>
      <c r="AM54" s="473" t="e">
        <f>IF(MAX(P54,P132)-MIN(P54,P132)&lt;=IF($B$2="mil",1,0.0254)*50,"Pass",MAX(P54,P132)-MIN(P54,P132)-IF($B$2="mil",1,0.0254)*50)</f>
        <v>#REF!</v>
      </c>
      <c r="AN54" s="473" t="e">
        <f ca="1">CheckLength2(IF($B$2="mil",1,0.0254)*1200,P54,Q54,0)</f>
        <v>#NAME?</v>
      </c>
      <c r="AO54" s="473" t="e">
        <f ca="1">CheckLength2(IF($B$2="mil",1,0.0254)*1200,P54,R54,0)</f>
        <v>#NAME?</v>
      </c>
      <c r="AP54" s="473" t="e">
        <f>IF(AND($S54&gt;=IF($B$2="mil",1,0.0254)*500, $S54&lt;=IF($B$2="mil",1,0.0254)*6500),"Pass",IF($B$2="mil",1,0.0254)*6500-$S54)</f>
        <v>#REF!</v>
      </c>
      <c r="AQ54" s="473" t="e">
        <f>IF(AND($T54&gt;=IF($B$2="mil",1,0.0254)*500, $T54&lt;=IF($B$2="mil",1,0.0254)*7000),"Pass",IF($B$2="mil",1,0.0254)*7000-$T54)</f>
        <v>#REF!</v>
      </c>
      <c r="AR54" s="473" t="e">
        <f>IF(AND($Y54&gt;=IF($B$2="mil",1,0.0254)*500, $Y54&lt;=IF($B$2="mil",1,0.0254)*6500),"Pass",IF($B$2="mil",1,0.0254)*6500-$Y54)</f>
        <v>#REF!</v>
      </c>
      <c r="AS54" s="474" t="e">
        <f>IF(AND($Z54&gt;=IF($B$2="mil",1,0.0254)*500, $Z54&lt;=IF($B$2="mil",1,0.0254)*7000),"Pass",IF($B$2="mil",1,0.0254)*7000-$Z54)</f>
        <v>#REF!</v>
      </c>
      <c r="AT54" s="4" t="e">
        <f t="shared" ca="1" si="35"/>
        <v>#REF!</v>
      </c>
    </row>
    <row r="55" spans="1:47" s="4" customFormat="1" ht="13.5" thickBot="1" x14ac:dyDescent="0.25">
      <c r="A55" s="214" t="s">
        <v>108</v>
      </c>
      <c r="B55" s="433" t="s">
        <v>477</v>
      </c>
      <c r="C55" s="562">
        <v>581.1811023622048</v>
      </c>
      <c r="D55" s="178"/>
      <c r="E55">
        <v>22.63</v>
      </c>
      <c r="F55">
        <v>0</v>
      </c>
      <c r="G55">
        <v>2599.61</v>
      </c>
      <c r="H55" s="301"/>
      <c r="I55" s="295"/>
      <c r="J55" s="301">
        <v>0</v>
      </c>
      <c r="K55" s="551">
        <v>86.64</v>
      </c>
      <c r="L55" s="296"/>
      <c r="M55" s="551">
        <v>1082.02</v>
      </c>
      <c r="N55" s="551">
        <v>551.28</v>
      </c>
      <c r="O55" s="232"/>
      <c r="P55" s="551">
        <v>691.6</v>
      </c>
      <c r="Q55" s="551">
        <v>99.14</v>
      </c>
      <c r="R55" s="551">
        <v>50.88</v>
      </c>
      <c r="S55" s="490">
        <f t="shared" si="20"/>
        <v>5046.2800000000007</v>
      </c>
      <c r="T55" s="469" t="e">
        <f>$S55+IF($B$2="mil",1,0.0254)*$C55</f>
        <v>#REF!</v>
      </c>
      <c r="U55" s="469" t="e">
        <f>$V$32 + IF($B$2="mil",1,0.0254)*DDR2Specs!$E$9</f>
        <v>#REF!</v>
      </c>
      <c r="V55" s="492" t="e">
        <f>$U$32 + IF($B$2="mil",1,0.0254)*DDR2Specs!$F$9</f>
        <v>#REF!</v>
      </c>
      <c r="W55" s="491" t="e">
        <f>IF($T55&lt;$U55,$U55-$T55,"Pass")</f>
        <v>#REF!</v>
      </c>
      <c r="X55" s="492" t="e">
        <f>IF($T55&gt;$V55,$T55-$V55,"Pass")</f>
        <v>#REF!</v>
      </c>
      <c r="Y55" s="490">
        <f t="shared" si="22"/>
        <v>4998.0200000000004</v>
      </c>
      <c r="Z55" s="469" t="e">
        <f>$Y55+IF($B$2="mil",1,0.0254)*$C55</f>
        <v>#REF!</v>
      </c>
      <c r="AA55" s="469" t="e">
        <f>$AB$32 + IF($B$2="mil",1,0.0254)*DDR2Specs!$E$9</f>
        <v>#REF!</v>
      </c>
      <c r="AB55" s="469" t="e">
        <f>$AA$32 + IF($B$2="mil",1,0.0254)*DDR2Specs!$F$9</f>
        <v>#REF!</v>
      </c>
      <c r="AC55" s="491" t="e">
        <f>IF($Z55&lt;$AA55,$AA55-$Z55,"Pass")</f>
        <v>#REF!</v>
      </c>
      <c r="AD55" s="492" t="e">
        <f>IF($Z55&gt;$AB55,$Z55-$AB55,"Pass")</f>
        <v>#REF!</v>
      </c>
      <c r="AE55" s="472" t="e">
        <f>IF($E55&lt;=IF($B$2="mil",1,0.0254)*50,"Pass",IF($B$2="mil",1,0.0254)*50-$E55)</f>
        <v>#REF!</v>
      </c>
      <c r="AF55" s="473" t="e">
        <f>IF($F55&lt;=IF($B$2="mil",1,0.0254)*500,"Pass",IF($B$2="mil",1,0.0254)*500-$F55)</f>
        <v>#REF!</v>
      </c>
      <c r="AG55" s="473" t="e">
        <f>IF($J55&lt;=IF($B$2="mil",1,0.0254)*1000,"Pass",IF($B$2="mil",1,0.0254)*1000-$J55)</f>
        <v>#REF!</v>
      </c>
      <c r="AH55" s="473" t="e">
        <f ca="1">CheckLength2(1200,J55,K55,0)</f>
        <v>#NAME?</v>
      </c>
      <c r="AI55" s="473" t="e">
        <f>IF(M55&lt;=IF($B$2="mil",1,0.0254)*2000,"Pass",IF($B$2="mil",1,0.0254)*2000-M55)</f>
        <v>#REF!</v>
      </c>
      <c r="AJ55" s="473" t="e">
        <f>IF(N55&lt;=IF($B$2="mil",1,0.0254)*1000,"Pass",IF($B$2="mil",1,0.0254)*1000-N55)</f>
        <v>#REF!</v>
      </c>
      <c r="AK55" s="473" t="e">
        <f>IF(MAX(N55,P107)-MIN(N55,P107)&lt;=IF($B$2="mil",1,0.0254)*50,"Pass",MAX(N55,P107)-MIN(N55,P107)-IF($B$2="mil",1,0.0254)*50)</f>
        <v>#REF!</v>
      </c>
      <c r="AL55" s="473" t="e">
        <f>IF($P55&lt;=IF($B$2="mil",1,0.0254)*1000,"Pass",IF($B$2="mil",1,0.0254)*1000-$P55)</f>
        <v>#REF!</v>
      </c>
      <c r="AM55" s="473" t="e">
        <f>IF(MAX(P55,P133)-MIN(P55,P133)&lt;=IF($B$2="mil",1,0.0254)*50,"Pass",MAX(P55,P133)-MIN(P55,P133)-IF($B$2="mil",1,0.0254)*50)</f>
        <v>#REF!</v>
      </c>
      <c r="AN55" s="473" t="e">
        <f ca="1">CheckLength2(IF($B$2="mil",1,0.0254)*1200,P55,Q55,0)</f>
        <v>#NAME?</v>
      </c>
      <c r="AO55" s="473" t="e">
        <f ca="1">CheckLength2(IF($B$2="mil",1,0.0254)*1200,P55,R55,0)</f>
        <v>#NAME?</v>
      </c>
      <c r="AP55" s="473" t="e">
        <f>IF(AND($S55&gt;=IF($B$2="mil",1,0.0254)*500, $S55&lt;=IF($B$2="mil",1,0.0254)*6500),"Pass",IF($B$2="mil",1,0.0254)*6500-$S55)</f>
        <v>#REF!</v>
      </c>
      <c r="AQ55" s="473" t="e">
        <f>IF(AND($T55&gt;=IF($B$2="mil",1,0.0254)*500, $T55&lt;=IF($B$2="mil",1,0.0254)*7000),"Pass",IF($B$2="mil",1,0.0254)*7000-$T55)</f>
        <v>#REF!</v>
      </c>
      <c r="AR55" s="473" t="e">
        <f>IF(AND($Y55&gt;=IF($B$2="mil",1,0.0254)*500, $Y55&lt;=IF($B$2="mil",1,0.0254)*6500),"Pass",IF($B$2="mil",1,0.0254)*6500-$Y55)</f>
        <v>#REF!</v>
      </c>
      <c r="AS55" s="474" t="e">
        <f>IF(AND($Z55&gt;=IF($B$2="mil",1,0.0254)*500, $Z55&lt;=IF($B$2="mil",1,0.0254)*7000),"Pass",IF($B$2="mil",1,0.0254)*7000-$Z55)</f>
        <v>#REF!</v>
      </c>
      <c r="AT55" s="4" t="e">
        <f t="shared" ca="1" si="35"/>
        <v>#REF!</v>
      </c>
    </row>
    <row r="56" spans="1:47" ht="65.25" customHeight="1" x14ac:dyDescent="0.2">
      <c r="N56" s="2"/>
      <c r="O56" s="2"/>
      <c r="P56" s="289" t="s">
        <v>494</v>
      </c>
      <c r="Q56" s="290" t="s">
        <v>437</v>
      </c>
      <c r="R56" s="290" t="s">
        <v>438</v>
      </c>
      <c r="S56" s="495" t="e">
        <f>"Total MB Length to U2 (L0+L1+L2+L5+L6-1+L8-3) ["&amp;$B$2&amp;"]"</f>
        <v>#REF!</v>
      </c>
      <c r="T56" s="495" t="e">
        <f>"Total Pad to Pin U2 (P1+L0+L1+L2+L5+L6-1+L8-3) ["&amp;$B$2&amp;"]"</f>
        <v>#REF!</v>
      </c>
      <c r="U56" s="496" t="e">
        <f>"Target Min Length to U2
["&amp;$B$2&amp;"]"</f>
        <v>#REF!</v>
      </c>
      <c r="V56" s="497" t="e">
        <f>"Target Max Length to U2 
["&amp;$B$2&amp;"]"</f>
        <v>#REF!</v>
      </c>
      <c r="W56" s="498" t="e">
        <f>"Routed Too Short to U2 [" &amp;$B$2&amp;"]"</f>
        <v>#REF!</v>
      </c>
      <c r="X56" s="496" t="e">
        <f>"Routed Too Long to U2 [" &amp;$B$2&amp;"]"</f>
        <v>#REF!</v>
      </c>
      <c r="Y56" s="495" t="e">
        <f>"Total MB Length to U6 (L0+L1+L2+L5+L6-1+L8-4) ["&amp;$B$2&amp;"]"</f>
        <v>#REF!</v>
      </c>
      <c r="Z56" s="495" t="e">
        <f>"Total Pad to Pin U6 (P1+L0+L1+L2+L5+L6-1+L8-4) ["&amp;$B$2&amp;"]"</f>
        <v>#REF!</v>
      </c>
      <c r="AA56" s="496" t="e">
        <f>"Target Min Length to U6
["&amp;$B$2&amp;"]"</f>
        <v>#REF!</v>
      </c>
      <c r="AB56" s="497" t="e">
        <f>"Target Max Length to U6 
["&amp;$B$2&amp;"]"</f>
        <v>#REF!</v>
      </c>
      <c r="AC56" s="498" t="e">
        <f>"Routed Too Short to U6 [" &amp;$B$2&amp;"]"</f>
        <v>#REF!</v>
      </c>
      <c r="AD56" s="496" t="e">
        <f>"Routed Too Long to U6 [" &amp;$B$2&amp;"]"</f>
        <v>#REF!</v>
      </c>
      <c r="AE56" s="2"/>
      <c r="AF56" s="2"/>
      <c r="AG56" s="2"/>
      <c r="AH56" s="2"/>
      <c r="AI56" s="2"/>
      <c r="AJ56" s="2"/>
      <c r="AK56" s="2"/>
      <c r="AL56" s="2"/>
      <c r="AM56" s="499" t="s">
        <v>494</v>
      </c>
      <c r="AN56" s="500" t="e">
        <f>"L8-3 Length Test (&lt;=" &amp; IF($B$2="mil",1,0.0254)*200&amp;$B$2&amp;") or (L6-1+L8-3&lt;= "&amp;IF($B$2="mil",1,0.0254)*1200&amp;$B$2&amp;")"</f>
        <v>#REF!</v>
      </c>
      <c r="AO56" s="500" t="e">
        <f>"L8-4 Length Test (&lt;=" &amp; IF($B$2="mil",1,0.0254)*200&amp;$B$2&amp;") or (L6-1+L8-4&lt;= "&amp;IF($B$2="mil",1,0.0254)*1200&amp;$B$2&amp;")"</f>
        <v>#REF!</v>
      </c>
      <c r="AP56" s="497" t="e">
        <f>"Total Length to U2 (L0+L1+L2+L5+L6-1+L8-3)Test
 ("&amp;IF($B$2="mil",1,0.0254)*500&amp;"-"&amp;IF($B$2="mil",1,0.0254)*6500&amp;IF($B$2="mil","mil","mm")&amp;")"</f>
        <v>#REF!</v>
      </c>
      <c r="AQ56" s="497" t="e">
        <f>"Total Length to U2 (P1+L0+L1+L2+L5+L6-1+L8-3) Test
 (&lt;="&amp;IF($B$2="mil",1,25.4)*7000&amp;IF($B$2="mil","mil","mm")&amp;")"</f>
        <v>#REF!</v>
      </c>
      <c r="AR56" s="500" t="e">
        <f>"Total Length to U6 (L0+L1+L2+L5+L6-1+L8-4)Test
 ("&amp;IF($B$2="mil",1,0.0254)*500&amp;"-"&amp;IF($B$2="mil",1,0.0254)*6500&amp;IF($B$2="mil","mil","mm")&amp;")"</f>
        <v>#REF!</v>
      </c>
      <c r="AS56" s="497" t="e">
        <f>"Total Length to U6 (P1+L0+L1+L2+L5+L6-1+L8-4) Test
 (&lt;="&amp;IF($B$2="mil",1,25.4)*7000&amp;IF($B$2="mil","mil","mm")&amp;")"</f>
        <v>#REF!</v>
      </c>
      <c r="AT56" s="2"/>
      <c r="AU56" s="2"/>
    </row>
    <row r="57" spans="1:47" x14ac:dyDescent="0.2">
      <c r="N57" s="2"/>
      <c r="O57" s="2"/>
      <c r="P57" s="134" t="s">
        <v>258</v>
      </c>
      <c r="Q57" s="135"/>
      <c r="R57" s="135"/>
      <c r="S57" s="135"/>
      <c r="T57" s="135"/>
      <c r="U57" s="135"/>
      <c r="V57" s="385"/>
      <c r="W57" s="135"/>
      <c r="X57" s="135"/>
      <c r="Y57" s="135"/>
      <c r="Z57" s="135"/>
      <c r="AA57" s="135"/>
      <c r="AB57" s="135"/>
      <c r="AC57" s="135"/>
      <c r="AD57" s="135"/>
      <c r="AE57" s="2"/>
      <c r="AF57" s="2"/>
      <c r="AG57" s="2"/>
      <c r="AH57" s="2"/>
      <c r="AI57" s="2"/>
      <c r="AJ57" s="2"/>
      <c r="AK57" s="2"/>
      <c r="AL57" s="2"/>
      <c r="AM57" s="134" t="s">
        <v>258</v>
      </c>
      <c r="AN57" s="135"/>
      <c r="AO57" s="135"/>
      <c r="AP57" s="135"/>
      <c r="AQ57" s="135"/>
      <c r="AR57" s="135"/>
      <c r="AS57" s="137"/>
      <c r="AT57" s="2"/>
      <c r="AU57" s="2"/>
    </row>
    <row r="58" spans="1:47" x14ac:dyDescent="0.2">
      <c r="N58" s="2"/>
      <c r="O58" s="2"/>
      <c r="P58" s="235" t="s">
        <v>262</v>
      </c>
      <c r="Q58" s="143"/>
      <c r="R58" s="143"/>
      <c r="S58" s="143"/>
      <c r="T58" s="502" t="s">
        <v>275</v>
      </c>
      <c r="U58" s="487" t="e">
        <f>MIN('DDR2 Clocks - 4L'!$O$9:$O$10)</f>
        <v>#REF!</v>
      </c>
      <c r="V58" s="484" t="e">
        <f>MAX('DDR2 Clocks - 4L'!$O$9:$O$10)</f>
        <v>#REF!</v>
      </c>
      <c r="W58" s="487"/>
      <c r="X58" s="145"/>
      <c r="Y58" s="143"/>
      <c r="Z58" s="502" t="s">
        <v>333</v>
      </c>
      <c r="AA58" s="487" t="e">
        <f>MIN('DDR2 Clocks - 4L'!$O$11:$O$12)</f>
        <v>#REF!</v>
      </c>
      <c r="AB58" s="486" t="e">
        <f>MAX('DDR2 Clocks - 4L'!$O$11:$O$12)</f>
        <v>#REF!</v>
      </c>
      <c r="AC58" s="487"/>
      <c r="AD58" s="145"/>
      <c r="AE58" s="2"/>
      <c r="AF58" s="2"/>
      <c r="AG58" s="2"/>
      <c r="AH58" s="2"/>
      <c r="AI58" s="2"/>
      <c r="AJ58" s="2"/>
      <c r="AK58" s="2"/>
      <c r="AL58" s="2"/>
      <c r="AM58" s="140" t="s">
        <v>262</v>
      </c>
      <c r="AN58" s="483"/>
      <c r="AO58" s="483"/>
      <c r="AP58" s="483"/>
      <c r="AQ58" s="483"/>
      <c r="AR58" s="483"/>
      <c r="AS58" s="484"/>
      <c r="AT58" s="2"/>
      <c r="AU58" s="2"/>
    </row>
    <row r="59" spans="1:47" x14ac:dyDescent="0.2">
      <c r="N59" s="2"/>
      <c r="O59" s="2"/>
      <c r="P59" s="180" t="s">
        <v>277</v>
      </c>
      <c r="Q59" s="157"/>
      <c r="R59" s="157"/>
      <c r="S59" s="157"/>
      <c r="T59" s="157"/>
      <c r="U59" s="155"/>
      <c r="V59" s="514"/>
      <c r="W59" s="476"/>
      <c r="X59" s="155"/>
      <c r="Y59" s="157"/>
      <c r="Z59" s="157"/>
      <c r="AA59" s="155"/>
      <c r="AB59" s="476"/>
      <c r="AC59" s="476"/>
      <c r="AD59" s="155"/>
      <c r="AE59" s="2"/>
      <c r="AF59" s="2"/>
      <c r="AG59" s="2"/>
      <c r="AH59" s="2"/>
      <c r="AI59" s="2"/>
      <c r="AJ59" s="2"/>
      <c r="AK59" s="2"/>
      <c r="AL59" s="2"/>
      <c r="AM59" s="134" t="s">
        <v>277</v>
      </c>
      <c r="AN59" s="155"/>
      <c r="AO59" s="155"/>
      <c r="AP59" s="155"/>
      <c r="AQ59" s="155"/>
      <c r="AR59" s="155"/>
      <c r="AS59" s="244"/>
      <c r="AT59" s="2"/>
      <c r="AU59" s="2"/>
    </row>
    <row r="60" spans="1:47" x14ac:dyDescent="0.2">
      <c r="N60" s="2"/>
      <c r="O60" s="2"/>
      <c r="P60" s="162" t="s">
        <v>244</v>
      </c>
      <c r="Q60">
        <v>150.02000000000001</v>
      </c>
      <c r="R60">
        <v>178.91</v>
      </c>
      <c r="S60" s="490">
        <f>SUM($E34:$G34,$M34,$N34,$Q60)</f>
        <v>4371.67</v>
      </c>
      <c r="T60" s="479" t="e">
        <f>$S60+IF($B$2="mil",1,0.0254)*$C34</f>
        <v>#REF!</v>
      </c>
      <c r="U60" s="469" t="e">
        <f>$V$58 + IF($B$2="mil",1,0.0254)*DDR2Specs!$E$9</f>
        <v>#REF!</v>
      </c>
      <c r="V60" s="492" t="e">
        <f>$U$58 + IF($B$2="mil",1,0.0254)*DDR2Specs!$F$9</f>
        <v>#REF!</v>
      </c>
      <c r="W60" s="491" t="e">
        <f t="shared" ref="W60:W73" si="36">IF($T60&lt;$U60,$U60-$T60,"Pass")</f>
        <v>#REF!</v>
      </c>
      <c r="X60" s="492" t="e">
        <f t="shared" ref="X60:X73" si="37">IF($T60&gt;$V60,$T60-$V60,"Pass")</f>
        <v>#REF!</v>
      </c>
      <c r="Y60" s="490">
        <f>SUM($E34:$G34,$M34,$N34,$R60)</f>
        <v>4400.5599999999995</v>
      </c>
      <c r="Z60" s="479" t="e">
        <f>$Y60+IF($B$2="mil",1,0.0254)*$C34</f>
        <v>#REF!</v>
      </c>
      <c r="AA60" s="469" t="e">
        <f>$AB$58 + IF($B$2="mil",1,0.0254)*DDR2Specs!$E$9</f>
        <v>#REF!</v>
      </c>
      <c r="AB60" s="469" t="e">
        <f>$AA$58 + IF($B$2="mil",1,0.0254)*DDR2Specs!$F$9</f>
        <v>#REF!</v>
      </c>
      <c r="AC60" s="491" t="e">
        <f t="shared" ref="AC60:AC73" si="38">IF($Z60&lt;$AA60,$AA60-$Z60,"Pass")</f>
        <v>#REF!</v>
      </c>
      <c r="AD60" s="492" t="e">
        <f t="shared" ref="AD60:AD73" si="39">IF($Z60&gt;$AB60,$Z60-$AB60,"Pass")</f>
        <v>#REF!</v>
      </c>
      <c r="AE60" s="2"/>
      <c r="AF60" s="2"/>
      <c r="AG60" s="2"/>
      <c r="AH60" s="2"/>
      <c r="AI60" s="2"/>
      <c r="AJ60" s="2"/>
      <c r="AK60" s="2"/>
      <c r="AL60" s="2"/>
      <c r="AM60" s="503" t="s">
        <v>244</v>
      </c>
      <c r="AN60" s="473" t="e">
        <f ca="1">CheckLength2(IF($B$2="mil",1,0.0254)*1200,N34,Q60,0)</f>
        <v>#NAME?</v>
      </c>
      <c r="AO60" s="473" t="e">
        <f ca="1">CheckLength2(IF($B$2="mil",1,0.0254)*1200,N34,R60,0)</f>
        <v>#NAME?</v>
      </c>
      <c r="AP60" s="473" t="e">
        <f>IF(AND(S60&gt;=IF($B$2="mil",1,0.0254)*500, $S60&lt;=IF($B$2="mil",1,0.0254)*6500),"Pass",IF($B$2="mil",1,0.0254)*6500-$S60)</f>
        <v>#REF!</v>
      </c>
      <c r="AQ60" s="504" t="e">
        <f>IF(AND($T60&gt;=IF($B$2="mil",1,0.0254)*500, $T60&lt;=IF($B$2="mil",1,0.0254)*7000),"Pass",IF($B$2="mil",1,0.0254)*7000-$T60)</f>
        <v>#REF!</v>
      </c>
      <c r="AR60" s="473" t="e">
        <f>IF(AND($Y60&gt;=IF($B$2="mil",1,0.0254)*500, $Y60&lt;=IF($B$2="mil",1,0.0254)*6500),"Pass",IF($B$2="mil",1,0.0254)*6500-$Y60)</f>
        <v>#REF!</v>
      </c>
      <c r="AS60" s="474" t="e">
        <f>IF(AND($Z60&gt;=IF($B$2="mil",1,0.0254)*500, $Z60&lt;=IF($B$2="mil",1,0.0254)*7000),"Pass",IF($B$2="mil",1,0.0254)*7000-$Z60)</f>
        <v>#REF!</v>
      </c>
      <c r="AT60" s="4" t="e">
        <f ca="1">IF(AND(W60="Pass",X60="Pass",AN60="Pass",AO60="Pass",AP60="Pass",AQ60="Pass",AR60="Pass",AS60="Pass"),"Pass","Fail")</f>
        <v>#REF!</v>
      </c>
      <c r="AU60" s="4" t="e">
        <f ca="1">IF(AND(AT60="Pass",AT61="Pass",AT62="Pass",AT63="Pass",AT64="Pass",AT65="Pass",AT65="Pass",AT66="Pass",AT67="Pass",AT68="Pass",AT69="Pass",AT70="Pass"),"Pass","Fail")</f>
        <v>#REF!</v>
      </c>
    </row>
    <row r="61" spans="1:47" x14ac:dyDescent="0.2">
      <c r="N61" s="2"/>
      <c r="O61" s="2"/>
      <c r="P61" s="217" t="s">
        <v>87</v>
      </c>
      <c r="Q61">
        <v>152.9</v>
      </c>
      <c r="R61">
        <v>90.94</v>
      </c>
      <c r="S61" s="490">
        <f t="shared" ref="S61:S81" si="40">SUM($E35:$G35,$M35,$N35,$Q61)</f>
        <v>4264.6099999999997</v>
      </c>
      <c r="T61" s="479" t="e">
        <f t="shared" ref="T61:T80" si="41">$S61+IF($B$2="mil",1,0.0254)*$C35</f>
        <v>#REF!</v>
      </c>
      <c r="U61" s="469" t="e">
        <f>$V$58 + IF($B$2="mil",1,0.0254)*DDR2Specs!$E$9</f>
        <v>#REF!</v>
      </c>
      <c r="V61" s="492" t="e">
        <f>$U$58 + IF($B$2="mil",1,0.0254)*DDR2Specs!$F$9</f>
        <v>#REF!</v>
      </c>
      <c r="W61" s="491" t="e">
        <f t="shared" si="36"/>
        <v>#REF!</v>
      </c>
      <c r="X61" s="492" t="e">
        <f t="shared" si="37"/>
        <v>#REF!</v>
      </c>
      <c r="Y61" s="490">
        <f t="shared" ref="Y61:Y81" si="42">SUM($E35:$G35,$M35,$N35,$R61)</f>
        <v>4202.6499999999996</v>
      </c>
      <c r="Z61" s="479" t="e">
        <f t="shared" ref="Z61:Z80" si="43">$Y61+IF($B$2="mil",1,0.0254)*$C35</f>
        <v>#REF!</v>
      </c>
      <c r="AA61" s="469" t="e">
        <f>$AB$58 + IF($B$2="mil",1,0.0254)*DDR2Specs!$E$9</f>
        <v>#REF!</v>
      </c>
      <c r="AB61" s="469" t="e">
        <f>$AA$58 + IF($B$2="mil",1,0.0254)*DDR2Specs!$F$9</f>
        <v>#REF!</v>
      </c>
      <c r="AC61" s="491" t="e">
        <f t="shared" si="38"/>
        <v>#REF!</v>
      </c>
      <c r="AD61" s="492" t="e">
        <f t="shared" si="39"/>
        <v>#REF!</v>
      </c>
      <c r="AE61" s="2"/>
      <c r="AF61" s="2"/>
      <c r="AG61" s="2"/>
      <c r="AH61" s="2"/>
      <c r="AI61" s="2"/>
      <c r="AJ61" s="2"/>
      <c r="AK61" s="2"/>
      <c r="AL61" s="2"/>
      <c r="AM61" s="505" t="s">
        <v>87</v>
      </c>
      <c r="AN61" s="473" t="e">
        <f t="shared" ref="AN61:AN73" ca="1" si="44">CheckLength2(IF($B$2="mil",1,0.0254)*1200,N35,Q61,0)</f>
        <v>#NAME?</v>
      </c>
      <c r="AO61" s="473" t="e">
        <f t="shared" ref="AO61:AO73" ca="1" si="45">CheckLength2(IF($B$2="mil",1,0.0254)*1200,N35,R61,0)</f>
        <v>#NAME?</v>
      </c>
      <c r="AP61" s="473" t="e">
        <f t="shared" ref="AP61:AP73" si="46">IF(AND(S61&gt;=IF($B$2="mil",1,0.0254)*500, $S61&lt;=IF($B$2="mil",1,0.0254)*6500),"Pass",IF($B$2="mil",1,0.0254)*6500-$S61)</f>
        <v>#REF!</v>
      </c>
      <c r="AQ61" s="504" t="e">
        <f t="shared" ref="AQ61:AQ73" si="47">IF(AND($T61&gt;=IF($B$2="mil",1,0.0254)*500, $T61&lt;=IF($B$2="mil",1,0.0254)*7000),"Pass",IF($B$2="mil",1,0.0254)*7000-$T61)</f>
        <v>#REF!</v>
      </c>
      <c r="AR61" s="473" t="e">
        <f t="shared" ref="AR61:AR73" si="48">IF(AND($Y61&gt;=IF($B$2="mil",1,0.0254)*500, $Y61&lt;=IF($B$2="mil",1,0.0254)*6500),"Pass",IF($B$2="mil",1,0.0254)*6500-$Y61)</f>
        <v>#REF!</v>
      </c>
      <c r="AS61" s="474" t="e">
        <f t="shared" ref="AS61:AS73" si="49">IF(AND($Z61&gt;=IF($B$2="mil",1,0.0254)*500, $Z61&lt;=IF($B$2="mil",1,0.0254)*7000),"Pass",IF($B$2="mil",1,0.0254)*7000-$Z61)</f>
        <v>#REF!</v>
      </c>
      <c r="AT61" s="4" t="e">
        <f t="shared" ref="AT61:AT81" ca="1" si="50">IF(AND(W61="Pass",X61="Pass",AN61="Pass",AO61="Pass",AP61="Pass",AQ61="Pass",AR61="Pass",AS61="Pass"),"Pass","Fail")</f>
        <v>#REF!</v>
      </c>
      <c r="AU61" s="4" t="e">
        <f ca="1">IF(AND(AT71="Pass",AT72="Pass",AT73="Pass",AT75="Pass",AT76="Pass",AT77="Pass",AT79="Pass",AT80="Pass",AT81="Pass"),"Pass","Fail")</f>
        <v>#REF!</v>
      </c>
    </row>
    <row r="62" spans="1:47" x14ac:dyDescent="0.2">
      <c r="N62" s="2"/>
      <c r="O62" s="2"/>
      <c r="P62" s="217" t="s">
        <v>88</v>
      </c>
      <c r="Q62">
        <v>110.29</v>
      </c>
      <c r="R62">
        <v>93.97</v>
      </c>
      <c r="S62" s="490">
        <f t="shared" si="40"/>
        <v>4437.7800000000007</v>
      </c>
      <c r="T62" s="479" t="e">
        <f t="shared" si="41"/>
        <v>#REF!</v>
      </c>
      <c r="U62" s="469" t="e">
        <f>$V$58 + IF($B$2="mil",1,0.0254)*DDR2Specs!$E$9</f>
        <v>#REF!</v>
      </c>
      <c r="V62" s="492" t="e">
        <f>$U$58 + IF($B$2="mil",1,0.0254)*DDR2Specs!$F$9</f>
        <v>#REF!</v>
      </c>
      <c r="W62" s="491" t="e">
        <f t="shared" si="36"/>
        <v>#REF!</v>
      </c>
      <c r="X62" s="492" t="e">
        <f t="shared" si="37"/>
        <v>#REF!</v>
      </c>
      <c r="Y62" s="490">
        <f t="shared" si="42"/>
        <v>4421.4600000000009</v>
      </c>
      <c r="Z62" s="479" t="e">
        <f t="shared" si="43"/>
        <v>#REF!</v>
      </c>
      <c r="AA62" s="469" t="e">
        <f>$AB$58 + IF($B$2="mil",1,0.0254)*DDR2Specs!$E$9</f>
        <v>#REF!</v>
      </c>
      <c r="AB62" s="469" t="e">
        <f>$AA$58 + IF($B$2="mil",1,0.0254)*DDR2Specs!$F$9</f>
        <v>#REF!</v>
      </c>
      <c r="AC62" s="491" t="e">
        <f t="shared" si="38"/>
        <v>#REF!</v>
      </c>
      <c r="AD62" s="492" t="e">
        <f t="shared" si="39"/>
        <v>#REF!</v>
      </c>
      <c r="AE62" s="2"/>
      <c r="AF62" s="2"/>
      <c r="AG62" s="2"/>
      <c r="AH62" s="2"/>
      <c r="AI62" s="2"/>
      <c r="AJ62" s="2"/>
      <c r="AK62" s="2"/>
      <c r="AL62" s="2"/>
      <c r="AM62" s="505" t="s">
        <v>88</v>
      </c>
      <c r="AN62" s="473" t="e">
        <f t="shared" ca="1" si="44"/>
        <v>#NAME?</v>
      </c>
      <c r="AO62" s="473" t="e">
        <f t="shared" ca="1" si="45"/>
        <v>#NAME?</v>
      </c>
      <c r="AP62" s="473" t="e">
        <f t="shared" si="46"/>
        <v>#REF!</v>
      </c>
      <c r="AQ62" s="504" t="e">
        <f t="shared" si="47"/>
        <v>#REF!</v>
      </c>
      <c r="AR62" s="473" t="e">
        <f t="shared" si="48"/>
        <v>#REF!</v>
      </c>
      <c r="AS62" s="474" t="e">
        <f t="shared" si="49"/>
        <v>#REF!</v>
      </c>
      <c r="AT62" s="4" t="e">
        <f t="shared" ca="1" si="50"/>
        <v>#REF!</v>
      </c>
      <c r="AU62" s="2"/>
    </row>
    <row r="63" spans="1:47" x14ac:dyDescent="0.2">
      <c r="N63" s="2"/>
      <c r="O63" s="2"/>
      <c r="P63" s="217" t="s">
        <v>89</v>
      </c>
      <c r="Q63">
        <v>373.57</v>
      </c>
      <c r="R63">
        <v>427.63</v>
      </c>
      <c r="S63" s="490">
        <f t="shared" si="40"/>
        <v>4299.25</v>
      </c>
      <c r="T63" s="479" t="e">
        <f t="shared" si="41"/>
        <v>#REF!</v>
      </c>
      <c r="U63" s="469" t="e">
        <f>$V$58 + IF($B$2="mil",1,0.0254)*DDR2Specs!$E$9</f>
        <v>#REF!</v>
      </c>
      <c r="V63" s="492" t="e">
        <f>$U$58 + IF($B$2="mil",1,0.0254)*DDR2Specs!$F$9</f>
        <v>#REF!</v>
      </c>
      <c r="W63" s="491" t="e">
        <f t="shared" si="36"/>
        <v>#REF!</v>
      </c>
      <c r="X63" s="492" t="e">
        <f t="shared" si="37"/>
        <v>#REF!</v>
      </c>
      <c r="Y63" s="490">
        <f t="shared" si="42"/>
        <v>4353.3100000000004</v>
      </c>
      <c r="Z63" s="479" t="e">
        <f t="shared" si="43"/>
        <v>#REF!</v>
      </c>
      <c r="AA63" s="469" t="e">
        <f>$AB$58 + IF($B$2="mil",1,0.0254)*DDR2Specs!$E$9</f>
        <v>#REF!</v>
      </c>
      <c r="AB63" s="469" t="e">
        <f>$AA$58 + IF($B$2="mil",1,0.0254)*DDR2Specs!$F$9</f>
        <v>#REF!</v>
      </c>
      <c r="AC63" s="491" t="e">
        <f t="shared" si="38"/>
        <v>#REF!</v>
      </c>
      <c r="AD63" s="492" t="e">
        <f t="shared" si="39"/>
        <v>#REF!</v>
      </c>
      <c r="AE63" s="2"/>
      <c r="AF63" s="2"/>
      <c r="AG63" s="2"/>
      <c r="AH63" s="2"/>
      <c r="AI63" s="2"/>
      <c r="AJ63" s="2"/>
      <c r="AK63" s="2"/>
      <c r="AL63" s="2"/>
      <c r="AM63" s="505" t="s">
        <v>89</v>
      </c>
      <c r="AN63" s="473" t="e">
        <f t="shared" ca="1" si="44"/>
        <v>#NAME?</v>
      </c>
      <c r="AO63" s="473" t="e">
        <f t="shared" ca="1" si="45"/>
        <v>#NAME?</v>
      </c>
      <c r="AP63" s="473" t="e">
        <f t="shared" si="46"/>
        <v>#REF!</v>
      </c>
      <c r="AQ63" s="504" t="e">
        <f t="shared" si="47"/>
        <v>#REF!</v>
      </c>
      <c r="AR63" s="473" t="e">
        <f t="shared" si="48"/>
        <v>#REF!</v>
      </c>
      <c r="AS63" s="474" t="e">
        <f t="shared" si="49"/>
        <v>#REF!</v>
      </c>
      <c r="AT63" s="4" t="e">
        <f t="shared" ca="1" si="50"/>
        <v>#REF!</v>
      </c>
      <c r="AU63" s="2"/>
    </row>
    <row r="64" spans="1:47" x14ac:dyDescent="0.2">
      <c r="N64" s="2"/>
      <c r="O64" s="2"/>
      <c r="P64" s="217" t="s">
        <v>90</v>
      </c>
      <c r="Q64">
        <v>369.56</v>
      </c>
      <c r="R64">
        <v>401.77</v>
      </c>
      <c r="S64" s="490">
        <f t="shared" si="40"/>
        <v>4461.93</v>
      </c>
      <c r="T64" s="479" t="e">
        <f t="shared" si="41"/>
        <v>#REF!</v>
      </c>
      <c r="U64" s="469" t="e">
        <f>$V$58 + IF($B$2="mil",1,0.0254)*DDR2Specs!$E$9</f>
        <v>#REF!</v>
      </c>
      <c r="V64" s="492" t="e">
        <f>$U$58 + IF($B$2="mil",1,0.0254)*DDR2Specs!$F$9</f>
        <v>#REF!</v>
      </c>
      <c r="W64" s="491" t="e">
        <f t="shared" si="36"/>
        <v>#REF!</v>
      </c>
      <c r="X64" s="492" t="e">
        <f t="shared" si="37"/>
        <v>#REF!</v>
      </c>
      <c r="Y64" s="490">
        <f t="shared" si="42"/>
        <v>4494.1399999999994</v>
      </c>
      <c r="Z64" s="479" t="e">
        <f t="shared" si="43"/>
        <v>#REF!</v>
      </c>
      <c r="AA64" s="469" t="e">
        <f>$AB$58 + IF($B$2="mil",1,0.0254)*DDR2Specs!$E$9</f>
        <v>#REF!</v>
      </c>
      <c r="AB64" s="469" t="e">
        <f>$AA$58 + IF($B$2="mil",1,0.0254)*DDR2Specs!$F$9</f>
        <v>#REF!</v>
      </c>
      <c r="AC64" s="491" t="e">
        <f t="shared" si="38"/>
        <v>#REF!</v>
      </c>
      <c r="AD64" s="492" t="e">
        <f t="shared" si="39"/>
        <v>#REF!</v>
      </c>
      <c r="AE64" s="2"/>
      <c r="AF64" s="2"/>
      <c r="AG64" s="2"/>
      <c r="AH64" s="2"/>
      <c r="AI64" s="2"/>
      <c r="AJ64" s="2"/>
      <c r="AK64" s="2"/>
      <c r="AL64" s="2"/>
      <c r="AM64" s="505" t="s">
        <v>90</v>
      </c>
      <c r="AN64" s="473" t="e">
        <f t="shared" ca="1" si="44"/>
        <v>#NAME?</v>
      </c>
      <c r="AO64" s="473" t="e">
        <f t="shared" ca="1" si="45"/>
        <v>#NAME?</v>
      </c>
      <c r="AP64" s="473" t="e">
        <f t="shared" si="46"/>
        <v>#REF!</v>
      </c>
      <c r="AQ64" s="504" t="e">
        <f t="shared" si="47"/>
        <v>#REF!</v>
      </c>
      <c r="AR64" s="473" t="e">
        <f t="shared" si="48"/>
        <v>#REF!</v>
      </c>
      <c r="AS64" s="474" t="e">
        <f t="shared" si="49"/>
        <v>#REF!</v>
      </c>
      <c r="AT64" s="4" t="e">
        <f t="shared" ca="1" si="50"/>
        <v>#REF!</v>
      </c>
      <c r="AU64" s="2"/>
    </row>
    <row r="65" spans="14:47" x14ac:dyDescent="0.2">
      <c r="N65" s="2"/>
      <c r="O65" s="2"/>
      <c r="P65" s="217" t="s">
        <v>91</v>
      </c>
      <c r="Q65">
        <v>136.13</v>
      </c>
      <c r="R65">
        <v>197.23</v>
      </c>
      <c r="S65" s="490">
        <f t="shared" si="40"/>
        <v>4425.83</v>
      </c>
      <c r="T65" s="479" t="e">
        <f t="shared" si="41"/>
        <v>#REF!</v>
      </c>
      <c r="U65" s="469" t="e">
        <f>$V$58 + IF($B$2="mil",1,0.0254)*DDR2Specs!$E$9</f>
        <v>#REF!</v>
      </c>
      <c r="V65" s="492" t="e">
        <f>$U$58 + IF($B$2="mil",1,0.0254)*DDR2Specs!$F$9</f>
        <v>#REF!</v>
      </c>
      <c r="W65" s="491" t="e">
        <f t="shared" si="36"/>
        <v>#REF!</v>
      </c>
      <c r="X65" s="492" t="e">
        <f t="shared" si="37"/>
        <v>#REF!</v>
      </c>
      <c r="Y65" s="490">
        <f t="shared" si="42"/>
        <v>4486.9299999999994</v>
      </c>
      <c r="Z65" s="479" t="e">
        <f t="shared" si="43"/>
        <v>#REF!</v>
      </c>
      <c r="AA65" s="469" t="e">
        <f>$AB$58 + IF($B$2="mil",1,0.0254)*DDR2Specs!$E$9</f>
        <v>#REF!</v>
      </c>
      <c r="AB65" s="469" t="e">
        <f>$AA$58 + IF($B$2="mil",1,0.0254)*DDR2Specs!$F$9</f>
        <v>#REF!</v>
      </c>
      <c r="AC65" s="491" t="e">
        <f t="shared" si="38"/>
        <v>#REF!</v>
      </c>
      <c r="AD65" s="492" t="e">
        <f t="shared" si="39"/>
        <v>#REF!</v>
      </c>
      <c r="AE65" s="2"/>
      <c r="AF65" s="2"/>
      <c r="AG65" s="2"/>
      <c r="AH65" s="2"/>
      <c r="AI65" s="2"/>
      <c r="AJ65" s="2"/>
      <c r="AK65" s="2"/>
      <c r="AL65" s="2"/>
      <c r="AM65" s="505" t="s">
        <v>91</v>
      </c>
      <c r="AN65" s="473" t="e">
        <f t="shared" ca="1" si="44"/>
        <v>#NAME?</v>
      </c>
      <c r="AO65" s="473" t="e">
        <f t="shared" ca="1" si="45"/>
        <v>#NAME?</v>
      </c>
      <c r="AP65" s="473" t="e">
        <f t="shared" si="46"/>
        <v>#REF!</v>
      </c>
      <c r="AQ65" s="504" t="e">
        <f t="shared" si="47"/>
        <v>#REF!</v>
      </c>
      <c r="AR65" s="473" t="e">
        <f t="shared" si="48"/>
        <v>#REF!</v>
      </c>
      <c r="AS65" s="474" t="e">
        <f t="shared" si="49"/>
        <v>#REF!</v>
      </c>
      <c r="AT65" s="4" t="e">
        <f t="shared" ca="1" si="50"/>
        <v>#REF!</v>
      </c>
      <c r="AU65" s="2"/>
    </row>
    <row r="66" spans="14:47" x14ac:dyDescent="0.2">
      <c r="N66" s="2"/>
      <c r="O66" s="2"/>
      <c r="P66" s="217" t="s">
        <v>92</v>
      </c>
      <c r="Q66">
        <v>135.08000000000001</v>
      </c>
      <c r="R66">
        <v>164.7</v>
      </c>
      <c r="S66" s="490">
        <f t="shared" si="40"/>
        <v>4265.46</v>
      </c>
      <c r="T66" s="479" t="e">
        <f t="shared" si="41"/>
        <v>#REF!</v>
      </c>
      <c r="U66" s="469" t="e">
        <f>$V$58 + IF($B$2="mil",1,0.0254)*DDR2Specs!$E$9</f>
        <v>#REF!</v>
      </c>
      <c r="V66" s="492" t="e">
        <f>$U$58 + IF($B$2="mil",1,0.0254)*DDR2Specs!$F$9</f>
        <v>#REF!</v>
      </c>
      <c r="W66" s="491" t="e">
        <f t="shared" si="36"/>
        <v>#REF!</v>
      </c>
      <c r="X66" s="492" t="e">
        <f t="shared" si="37"/>
        <v>#REF!</v>
      </c>
      <c r="Y66" s="490">
        <f t="shared" si="42"/>
        <v>4295.08</v>
      </c>
      <c r="Z66" s="479" t="e">
        <f t="shared" si="43"/>
        <v>#REF!</v>
      </c>
      <c r="AA66" s="469" t="e">
        <f>$AB$58 + IF($B$2="mil",1,0.0254)*DDR2Specs!$E$9</f>
        <v>#REF!</v>
      </c>
      <c r="AB66" s="469" t="e">
        <f>$AA$58 + IF($B$2="mil",1,0.0254)*DDR2Specs!$F$9</f>
        <v>#REF!</v>
      </c>
      <c r="AC66" s="491" t="e">
        <f t="shared" si="38"/>
        <v>#REF!</v>
      </c>
      <c r="AD66" s="492" t="e">
        <f t="shared" si="39"/>
        <v>#REF!</v>
      </c>
      <c r="AE66" s="2"/>
      <c r="AF66" s="2"/>
      <c r="AG66" s="2"/>
      <c r="AH66" s="2"/>
      <c r="AI66" s="2"/>
      <c r="AJ66" s="2"/>
      <c r="AK66" s="2"/>
      <c r="AL66" s="2"/>
      <c r="AM66" s="505" t="s">
        <v>92</v>
      </c>
      <c r="AN66" s="473" t="e">
        <f t="shared" ca="1" si="44"/>
        <v>#NAME?</v>
      </c>
      <c r="AO66" s="473" t="e">
        <f t="shared" ca="1" si="45"/>
        <v>#NAME?</v>
      </c>
      <c r="AP66" s="473" t="e">
        <f t="shared" si="46"/>
        <v>#REF!</v>
      </c>
      <c r="AQ66" s="504" t="e">
        <f t="shared" si="47"/>
        <v>#REF!</v>
      </c>
      <c r="AR66" s="473" t="e">
        <f t="shared" si="48"/>
        <v>#REF!</v>
      </c>
      <c r="AS66" s="474" t="e">
        <f t="shared" si="49"/>
        <v>#REF!</v>
      </c>
      <c r="AT66" s="4" t="e">
        <f t="shared" ca="1" si="50"/>
        <v>#REF!</v>
      </c>
      <c r="AU66" s="2"/>
    </row>
    <row r="67" spans="14:47" x14ac:dyDescent="0.2">
      <c r="N67" s="2"/>
      <c r="O67" s="2"/>
      <c r="P67" s="217" t="s">
        <v>94</v>
      </c>
      <c r="Q67">
        <v>256.72000000000003</v>
      </c>
      <c r="R67">
        <v>318.58</v>
      </c>
      <c r="S67" s="490">
        <f t="shared" si="40"/>
        <v>4198.53</v>
      </c>
      <c r="T67" s="479" t="e">
        <f t="shared" si="41"/>
        <v>#REF!</v>
      </c>
      <c r="U67" s="469" t="e">
        <f>$V$58 + IF($B$2="mil",1,0.0254)*DDR2Specs!$E$9</f>
        <v>#REF!</v>
      </c>
      <c r="V67" s="492" t="e">
        <f>$U$58 + IF($B$2="mil",1,0.0254)*DDR2Specs!$F$9</f>
        <v>#REF!</v>
      </c>
      <c r="W67" s="491" t="e">
        <f t="shared" si="36"/>
        <v>#REF!</v>
      </c>
      <c r="X67" s="492" t="e">
        <f t="shared" si="37"/>
        <v>#REF!</v>
      </c>
      <c r="Y67" s="490">
        <f t="shared" si="42"/>
        <v>4260.3900000000003</v>
      </c>
      <c r="Z67" s="479" t="e">
        <f t="shared" si="43"/>
        <v>#REF!</v>
      </c>
      <c r="AA67" s="469" t="e">
        <f>$AB$58 + IF($B$2="mil",1,0.0254)*DDR2Specs!$E$9</f>
        <v>#REF!</v>
      </c>
      <c r="AB67" s="469" t="e">
        <f>$AA$58 + IF($B$2="mil",1,0.0254)*DDR2Specs!$F$9</f>
        <v>#REF!</v>
      </c>
      <c r="AC67" s="491" t="e">
        <f t="shared" si="38"/>
        <v>#REF!</v>
      </c>
      <c r="AD67" s="492" t="e">
        <f t="shared" si="39"/>
        <v>#REF!</v>
      </c>
      <c r="AE67" s="2"/>
      <c r="AF67" s="2"/>
      <c r="AG67" s="2"/>
      <c r="AH67" s="2"/>
      <c r="AI67" s="2"/>
      <c r="AJ67" s="2"/>
      <c r="AK67" s="2"/>
      <c r="AL67" s="2"/>
      <c r="AM67" s="505" t="s">
        <v>94</v>
      </c>
      <c r="AN67" s="473" t="e">
        <f t="shared" ca="1" si="44"/>
        <v>#NAME?</v>
      </c>
      <c r="AO67" s="473" t="e">
        <f t="shared" ca="1" si="45"/>
        <v>#NAME?</v>
      </c>
      <c r="AP67" s="473" t="e">
        <f t="shared" si="46"/>
        <v>#REF!</v>
      </c>
      <c r="AQ67" s="504" t="e">
        <f t="shared" si="47"/>
        <v>#REF!</v>
      </c>
      <c r="AR67" s="473" t="e">
        <f t="shared" si="48"/>
        <v>#REF!</v>
      </c>
      <c r="AS67" s="474" t="e">
        <f t="shared" si="49"/>
        <v>#REF!</v>
      </c>
      <c r="AT67" s="4" t="e">
        <f t="shared" ca="1" si="50"/>
        <v>#REF!</v>
      </c>
      <c r="AU67" s="2"/>
    </row>
    <row r="68" spans="14:47" x14ac:dyDescent="0.2">
      <c r="N68" s="2"/>
      <c r="O68" s="2"/>
      <c r="P68" s="217" t="s">
        <v>95</v>
      </c>
      <c r="Q68">
        <v>255.28</v>
      </c>
      <c r="R68">
        <v>284.73</v>
      </c>
      <c r="S68" s="490">
        <f t="shared" si="40"/>
        <v>4165.25</v>
      </c>
      <c r="T68" s="479" t="e">
        <f t="shared" si="41"/>
        <v>#REF!</v>
      </c>
      <c r="U68" s="469" t="e">
        <f>$V$58 + IF($B$2="mil",1,0.0254)*DDR2Specs!$E$9</f>
        <v>#REF!</v>
      </c>
      <c r="V68" s="492" t="e">
        <f>$U$58 + IF($B$2="mil",1,0.0254)*DDR2Specs!$F$9</f>
        <v>#REF!</v>
      </c>
      <c r="W68" s="491" t="e">
        <f t="shared" si="36"/>
        <v>#REF!</v>
      </c>
      <c r="X68" s="492" t="e">
        <f t="shared" si="37"/>
        <v>#REF!</v>
      </c>
      <c r="Y68" s="490">
        <f t="shared" si="42"/>
        <v>4194.7</v>
      </c>
      <c r="Z68" s="479" t="e">
        <f t="shared" si="43"/>
        <v>#REF!</v>
      </c>
      <c r="AA68" s="469" t="e">
        <f>$AB$58 + IF($B$2="mil",1,0.0254)*DDR2Specs!$E$9</f>
        <v>#REF!</v>
      </c>
      <c r="AB68" s="469" t="e">
        <f>$AA$58 + IF($B$2="mil",1,0.0254)*DDR2Specs!$F$9</f>
        <v>#REF!</v>
      </c>
      <c r="AC68" s="491" t="e">
        <f t="shared" si="38"/>
        <v>#REF!</v>
      </c>
      <c r="AD68" s="492" t="e">
        <f t="shared" si="39"/>
        <v>#REF!</v>
      </c>
      <c r="AE68" s="2"/>
      <c r="AF68" s="2"/>
      <c r="AG68" s="2"/>
      <c r="AH68" s="2"/>
      <c r="AI68" s="2"/>
      <c r="AJ68" s="2"/>
      <c r="AK68" s="2"/>
      <c r="AL68" s="2"/>
      <c r="AM68" s="505" t="s">
        <v>95</v>
      </c>
      <c r="AN68" s="473" t="e">
        <f t="shared" ca="1" si="44"/>
        <v>#NAME?</v>
      </c>
      <c r="AO68" s="473" t="e">
        <f t="shared" ca="1" si="45"/>
        <v>#NAME?</v>
      </c>
      <c r="AP68" s="473" t="e">
        <f t="shared" si="46"/>
        <v>#REF!</v>
      </c>
      <c r="AQ68" s="504" t="e">
        <f t="shared" si="47"/>
        <v>#REF!</v>
      </c>
      <c r="AR68" s="473" t="e">
        <f t="shared" si="48"/>
        <v>#REF!</v>
      </c>
      <c r="AS68" s="474" t="e">
        <f t="shared" si="49"/>
        <v>#REF!</v>
      </c>
      <c r="AT68" s="4" t="e">
        <f t="shared" ca="1" si="50"/>
        <v>#REF!</v>
      </c>
      <c r="AU68" s="2"/>
    </row>
    <row r="69" spans="14:47" x14ac:dyDescent="0.2">
      <c r="N69" s="2"/>
      <c r="O69" s="2"/>
      <c r="P69" s="217" t="s">
        <v>96</v>
      </c>
      <c r="Q69">
        <v>159.25</v>
      </c>
      <c r="R69">
        <v>221.46</v>
      </c>
      <c r="S69" s="490">
        <f t="shared" si="40"/>
        <v>4221.28</v>
      </c>
      <c r="T69" s="479" t="e">
        <f t="shared" si="41"/>
        <v>#REF!</v>
      </c>
      <c r="U69" s="469" t="e">
        <f>$V$58 + IF($B$2="mil",1,0.0254)*DDR2Specs!$E$9</f>
        <v>#REF!</v>
      </c>
      <c r="V69" s="492" t="e">
        <f>$U$58 + IF($B$2="mil",1,0.0254)*DDR2Specs!$F$9</f>
        <v>#REF!</v>
      </c>
      <c r="W69" s="491" t="e">
        <f t="shared" si="36"/>
        <v>#REF!</v>
      </c>
      <c r="X69" s="492" t="e">
        <f t="shared" si="37"/>
        <v>#REF!</v>
      </c>
      <c r="Y69" s="490">
        <f t="shared" si="42"/>
        <v>4283.49</v>
      </c>
      <c r="Z69" s="479" t="e">
        <f t="shared" si="43"/>
        <v>#REF!</v>
      </c>
      <c r="AA69" s="469" t="e">
        <f>$AB$58 + IF($B$2="mil",1,0.0254)*DDR2Specs!$E$9</f>
        <v>#REF!</v>
      </c>
      <c r="AB69" s="469" t="e">
        <f>$AA$58 + IF($B$2="mil",1,0.0254)*DDR2Specs!$F$9</f>
        <v>#REF!</v>
      </c>
      <c r="AC69" s="491" t="e">
        <f t="shared" si="38"/>
        <v>#REF!</v>
      </c>
      <c r="AD69" s="492" t="e">
        <f t="shared" si="39"/>
        <v>#REF!</v>
      </c>
      <c r="AE69" s="2"/>
      <c r="AF69" s="2"/>
      <c r="AG69" s="2"/>
      <c r="AH69" s="2"/>
      <c r="AI69" s="2"/>
      <c r="AJ69" s="2"/>
      <c r="AK69" s="2"/>
      <c r="AL69" s="2"/>
      <c r="AM69" s="505" t="s">
        <v>96</v>
      </c>
      <c r="AN69" s="473" t="e">
        <f t="shared" ca="1" si="44"/>
        <v>#NAME?</v>
      </c>
      <c r="AO69" s="473" t="e">
        <f t="shared" ca="1" si="45"/>
        <v>#NAME?</v>
      </c>
      <c r="AP69" s="473" t="e">
        <f t="shared" si="46"/>
        <v>#REF!</v>
      </c>
      <c r="AQ69" s="504" t="e">
        <f t="shared" si="47"/>
        <v>#REF!</v>
      </c>
      <c r="AR69" s="473" t="e">
        <f t="shared" si="48"/>
        <v>#REF!</v>
      </c>
      <c r="AS69" s="474" t="e">
        <f t="shared" si="49"/>
        <v>#REF!</v>
      </c>
      <c r="AT69" s="4" t="e">
        <f t="shared" ca="1" si="50"/>
        <v>#REF!</v>
      </c>
      <c r="AU69" s="2"/>
    </row>
    <row r="70" spans="14:47" x14ac:dyDescent="0.2">
      <c r="N70" s="2"/>
      <c r="O70" s="2"/>
      <c r="P70" s="217" t="s">
        <v>98</v>
      </c>
      <c r="Q70">
        <v>158.11000000000001</v>
      </c>
      <c r="R70">
        <v>209.85</v>
      </c>
      <c r="S70" s="490">
        <f t="shared" si="40"/>
        <v>4414.2199999999993</v>
      </c>
      <c r="T70" s="479" t="e">
        <f t="shared" si="41"/>
        <v>#REF!</v>
      </c>
      <c r="U70" s="469" t="e">
        <f>$V$58 + IF($B$2="mil",1,0.0254)*DDR2Specs!$E$9</f>
        <v>#REF!</v>
      </c>
      <c r="V70" s="492" t="e">
        <f>$U$58 + IF($B$2="mil",1,0.0254)*DDR2Specs!$F$9</f>
        <v>#REF!</v>
      </c>
      <c r="W70" s="491" t="e">
        <f t="shared" si="36"/>
        <v>#REF!</v>
      </c>
      <c r="X70" s="492" t="e">
        <f t="shared" si="37"/>
        <v>#REF!</v>
      </c>
      <c r="Y70" s="490">
        <f t="shared" si="42"/>
        <v>4465.96</v>
      </c>
      <c r="Z70" s="479" t="e">
        <f t="shared" si="43"/>
        <v>#REF!</v>
      </c>
      <c r="AA70" s="469" t="e">
        <f>$AB$58 + IF($B$2="mil",1,0.0254)*DDR2Specs!$E$9</f>
        <v>#REF!</v>
      </c>
      <c r="AB70" s="469" t="e">
        <f>$AA$58 + IF($B$2="mil",1,0.0254)*DDR2Specs!$F$9</f>
        <v>#REF!</v>
      </c>
      <c r="AC70" s="491" t="e">
        <f t="shared" si="38"/>
        <v>#REF!</v>
      </c>
      <c r="AD70" s="492" t="e">
        <f t="shared" si="39"/>
        <v>#REF!</v>
      </c>
      <c r="AE70" s="2"/>
      <c r="AF70" s="2"/>
      <c r="AG70" s="2"/>
      <c r="AH70" s="2"/>
      <c r="AI70" s="2"/>
      <c r="AJ70" s="2"/>
      <c r="AK70" s="2"/>
      <c r="AL70" s="2"/>
      <c r="AM70" s="505" t="s">
        <v>98</v>
      </c>
      <c r="AN70" s="473" t="e">
        <f t="shared" ca="1" si="44"/>
        <v>#NAME?</v>
      </c>
      <c r="AO70" s="473" t="e">
        <f t="shared" ca="1" si="45"/>
        <v>#NAME?</v>
      </c>
      <c r="AP70" s="473" t="e">
        <f t="shared" si="46"/>
        <v>#REF!</v>
      </c>
      <c r="AQ70" s="504" t="e">
        <f t="shared" si="47"/>
        <v>#REF!</v>
      </c>
      <c r="AR70" s="473" t="e">
        <f t="shared" si="48"/>
        <v>#REF!</v>
      </c>
      <c r="AS70" s="474" t="e">
        <f t="shared" si="49"/>
        <v>#REF!</v>
      </c>
      <c r="AT70" s="4" t="e">
        <f t="shared" ca="1" si="50"/>
        <v>#REF!</v>
      </c>
      <c r="AU70" s="2"/>
    </row>
    <row r="71" spans="14:47" x14ac:dyDescent="0.2">
      <c r="N71" s="2"/>
      <c r="O71" s="2"/>
      <c r="P71" s="217" t="s">
        <v>99</v>
      </c>
      <c r="Q71">
        <v>157.82</v>
      </c>
      <c r="R71">
        <v>181.24</v>
      </c>
      <c r="S71" s="490">
        <f t="shared" si="40"/>
        <v>4161.41</v>
      </c>
      <c r="T71" s="479" t="e">
        <f t="shared" si="41"/>
        <v>#REF!</v>
      </c>
      <c r="U71" s="469" t="e">
        <f>$V$58 + IF($B$2="mil",1,0.0254)*DDR2Specs!$E$9</f>
        <v>#REF!</v>
      </c>
      <c r="V71" s="492" t="e">
        <f>$U$58 + IF($B$2="mil",1,0.0254)*DDR2Specs!$F$9</f>
        <v>#REF!</v>
      </c>
      <c r="W71" s="491" t="e">
        <f t="shared" si="36"/>
        <v>#REF!</v>
      </c>
      <c r="X71" s="492" t="e">
        <f t="shared" si="37"/>
        <v>#REF!</v>
      </c>
      <c r="Y71" s="490">
        <f t="shared" si="42"/>
        <v>4184.83</v>
      </c>
      <c r="Z71" s="479" t="e">
        <f t="shared" si="43"/>
        <v>#REF!</v>
      </c>
      <c r="AA71" s="469" t="e">
        <f>$AB$58 + IF($B$2="mil",1,0.0254)*DDR2Specs!$E$9</f>
        <v>#REF!</v>
      </c>
      <c r="AB71" s="469" t="e">
        <f>$AA$58 + IF($B$2="mil",1,0.0254)*DDR2Specs!$F$9</f>
        <v>#REF!</v>
      </c>
      <c r="AC71" s="491" t="e">
        <f t="shared" si="38"/>
        <v>#REF!</v>
      </c>
      <c r="AD71" s="492" t="e">
        <f t="shared" si="39"/>
        <v>#REF!</v>
      </c>
      <c r="AE71" s="2"/>
      <c r="AF71" s="2"/>
      <c r="AG71" s="2"/>
      <c r="AH71" s="2"/>
      <c r="AI71" s="2"/>
      <c r="AJ71" s="2"/>
      <c r="AK71" s="2"/>
      <c r="AL71" s="2"/>
      <c r="AM71" s="505" t="s">
        <v>99</v>
      </c>
      <c r="AN71" s="473" t="e">
        <f t="shared" ca="1" si="44"/>
        <v>#NAME?</v>
      </c>
      <c r="AO71" s="473" t="e">
        <f t="shared" ca="1" si="45"/>
        <v>#NAME?</v>
      </c>
      <c r="AP71" s="473" t="e">
        <f t="shared" si="46"/>
        <v>#REF!</v>
      </c>
      <c r="AQ71" s="504" t="e">
        <f t="shared" si="47"/>
        <v>#REF!</v>
      </c>
      <c r="AR71" s="473" t="e">
        <f t="shared" si="48"/>
        <v>#REF!</v>
      </c>
      <c r="AS71" s="474" t="e">
        <f t="shared" si="49"/>
        <v>#REF!</v>
      </c>
      <c r="AT71" s="4" t="e">
        <f t="shared" ca="1" si="50"/>
        <v>#REF!</v>
      </c>
      <c r="AU71" s="2"/>
    </row>
    <row r="72" spans="14:47" x14ac:dyDescent="0.2">
      <c r="N72" s="2"/>
      <c r="O72" s="2"/>
      <c r="P72" s="217" t="s">
        <v>100</v>
      </c>
      <c r="Q72">
        <v>170.19</v>
      </c>
      <c r="R72">
        <v>237.45</v>
      </c>
      <c r="S72" s="490">
        <f t="shared" si="40"/>
        <v>4562.8999999999996</v>
      </c>
      <c r="T72" s="479" t="e">
        <f t="shared" si="41"/>
        <v>#REF!</v>
      </c>
      <c r="U72" s="469" t="e">
        <f>$V$58 + IF($B$2="mil",1,0.0254)*DDR2Specs!$E$9</f>
        <v>#REF!</v>
      </c>
      <c r="V72" s="492" t="e">
        <f>$U$58 + IF($B$2="mil",1,0.0254)*DDR2Specs!$F$9</f>
        <v>#REF!</v>
      </c>
      <c r="W72" s="491" t="e">
        <f t="shared" si="36"/>
        <v>#REF!</v>
      </c>
      <c r="X72" s="492" t="e">
        <f t="shared" si="37"/>
        <v>#REF!</v>
      </c>
      <c r="Y72" s="490">
        <f t="shared" si="42"/>
        <v>4630.16</v>
      </c>
      <c r="Z72" s="479" t="e">
        <f t="shared" si="43"/>
        <v>#REF!</v>
      </c>
      <c r="AA72" s="469" t="e">
        <f>$AB$58 + IF($B$2="mil",1,0.0254)*DDR2Specs!$E$9</f>
        <v>#REF!</v>
      </c>
      <c r="AB72" s="469" t="e">
        <f>$AA$58 + IF($B$2="mil",1,0.0254)*DDR2Specs!$F$9</f>
        <v>#REF!</v>
      </c>
      <c r="AC72" s="491" t="e">
        <f t="shared" si="38"/>
        <v>#REF!</v>
      </c>
      <c r="AD72" s="492" t="e">
        <f t="shared" si="39"/>
        <v>#REF!</v>
      </c>
      <c r="AE72" s="2"/>
      <c r="AF72" s="2"/>
      <c r="AG72" s="2"/>
      <c r="AH72" s="2"/>
      <c r="AI72" s="2"/>
      <c r="AJ72" s="2"/>
      <c r="AK72" s="2"/>
      <c r="AL72" s="2"/>
      <c r="AM72" s="505" t="s">
        <v>100</v>
      </c>
      <c r="AN72" s="473" t="e">
        <f t="shared" ca="1" si="44"/>
        <v>#NAME?</v>
      </c>
      <c r="AO72" s="473" t="e">
        <f t="shared" ca="1" si="45"/>
        <v>#NAME?</v>
      </c>
      <c r="AP72" s="473" t="e">
        <f t="shared" si="46"/>
        <v>#REF!</v>
      </c>
      <c r="AQ72" s="504" t="e">
        <f t="shared" si="47"/>
        <v>#REF!</v>
      </c>
      <c r="AR72" s="473" t="e">
        <f t="shared" si="48"/>
        <v>#REF!</v>
      </c>
      <c r="AS72" s="474" t="e">
        <f t="shared" si="49"/>
        <v>#REF!</v>
      </c>
      <c r="AT72" s="4" t="e">
        <f t="shared" ca="1" si="50"/>
        <v>#REF!</v>
      </c>
      <c r="AU72" s="2"/>
    </row>
    <row r="73" spans="14:47" x14ac:dyDescent="0.2">
      <c r="N73" s="2"/>
      <c r="O73" s="2"/>
      <c r="P73" s="217" t="s">
        <v>101</v>
      </c>
      <c r="Q73">
        <v>169.13</v>
      </c>
      <c r="R73">
        <v>198.17</v>
      </c>
      <c r="S73" s="490">
        <f t="shared" si="40"/>
        <v>4275.18</v>
      </c>
      <c r="T73" s="479" t="e">
        <f t="shared" si="41"/>
        <v>#REF!</v>
      </c>
      <c r="U73" s="469" t="e">
        <f>$V$58 + IF($B$2="mil",1,0.0254)*DDR2Specs!$E$9</f>
        <v>#REF!</v>
      </c>
      <c r="V73" s="492" t="e">
        <f>$U$58 + IF($B$2="mil",1,0.0254)*DDR2Specs!$F$9</f>
        <v>#REF!</v>
      </c>
      <c r="W73" s="491" t="e">
        <f t="shared" si="36"/>
        <v>#REF!</v>
      </c>
      <c r="X73" s="492" t="e">
        <f t="shared" si="37"/>
        <v>#REF!</v>
      </c>
      <c r="Y73" s="490">
        <f t="shared" si="42"/>
        <v>4304.22</v>
      </c>
      <c r="Z73" s="479" t="e">
        <f t="shared" si="43"/>
        <v>#REF!</v>
      </c>
      <c r="AA73" s="469" t="e">
        <f>$AB$58 + IF($B$2="mil",1,0.0254)*DDR2Specs!$E$9</f>
        <v>#REF!</v>
      </c>
      <c r="AB73" s="469" t="e">
        <f>$AA$58 + IF($B$2="mil",1,0.0254)*DDR2Specs!$F$9</f>
        <v>#REF!</v>
      </c>
      <c r="AC73" s="491" t="e">
        <f t="shared" si="38"/>
        <v>#REF!</v>
      </c>
      <c r="AD73" s="492" t="e">
        <f t="shared" si="39"/>
        <v>#REF!</v>
      </c>
      <c r="AE73" s="2"/>
      <c r="AF73" s="2"/>
      <c r="AG73" s="2"/>
      <c r="AH73" s="2"/>
      <c r="AI73" s="2"/>
      <c r="AJ73" s="2"/>
      <c r="AK73" s="2"/>
      <c r="AL73" s="2"/>
      <c r="AM73" s="505" t="s">
        <v>101</v>
      </c>
      <c r="AN73" s="473" t="e">
        <f t="shared" ca="1" si="44"/>
        <v>#NAME?</v>
      </c>
      <c r="AO73" s="473" t="e">
        <f t="shared" ca="1" si="45"/>
        <v>#NAME?</v>
      </c>
      <c r="AP73" s="473" t="e">
        <f t="shared" si="46"/>
        <v>#REF!</v>
      </c>
      <c r="AQ73" s="504" t="e">
        <f t="shared" si="47"/>
        <v>#REF!</v>
      </c>
      <c r="AR73" s="473" t="e">
        <f t="shared" si="48"/>
        <v>#REF!</v>
      </c>
      <c r="AS73" s="474" t="e">
        <f t="shared" si="49"/>
        <v>#REF!</v>
      </c>
      <c r="AT73" s="4" t="e">
        <f t="shared" ca="1" si="50"/>
        <v>#REF!</v>
      </c>
      <c r="AU73" s="2"/>
    </row>
    <row r="74" spans="14:47" x14ac:dyDescent="0.2">
      <c r="N74" s="2"/>
      <c r="O74" s="2"/>
      <c r="P74" s="180" t="s">
        <v>278</v>
      </c>
      <c r="Q74" s="291"/>
      <c r="R74" s="291"/>
      <c r="S74" s="182"/>
      <c r="T74" s="182"/>
      <c r="U74" s="182"/>
      <c r="V74" s="515"/>
      <c r="W74" s="385"/>
      <c r="X74" s="385"/>
      <c r="Y74" s="182"/>
      <c r="Z74" s="182"/>
      <c r="AA74" s="182"/>
      <c r="AB74" s="182"/>
      <c r="AC74" s="385"/>
      <c r="AD74" s="385"/>
      <c r="AE74" s="2"/>
      <c r="AF74" s="2"/>
      <c r="AG74" s="2"/>
      <c r="AH74" s="2"/>
      <c r="AI74" s="2"/>
      <c r="AJ74" s="2"/>
      <c r="AK74" s="2"/>
      <c r="AL74" s="2"/>
      <c r="AM74" s="134" t="s">
        <v>278</v>
      </c>
      <c r="AN74" s="155"/>
      <c r="AO74" s="155"/>
      <c r="AP74" s="155"/>
      <c r="AQ74" s="506"/>
      <c r="AR74" s="155"/>
      <c r="AS74" s="506"/>
      <c r="AT74" s="2"/>
      <c r="AU74" s="2"/>
    </row>
    <row r="75" spans="14:47" x14ac:dyDescent="0.2">
      <c r="N75" s="2"/>
      <c r="O75" s="2"/>
      <c r="P75" s="161" t="s">
        <v>102</v>
      </c>
      <c r="Q75" s="551">
        <v>111.06</v>
      </c>
      <c r="R75" s="551">
        <v>152.4</v>
      </c>
      <c r="S75" s="490">
        <f t="shared" si="40"/>
        <v>4310.38</v>
      </c>
      <c r="T75" s="479" t="e">
        <f t="shared" si="41"/>
        <v>#REF!</v>
      </c>
      <c r="U75" s="469" t="e">
        <f>$V$58 + IF($B$2="mil",1,0.0254)*DDR2Specs!$E$9</f>
        <v>#REF!</v>
      </c>
      <c r="V75" s="492" t="e">
        <f>$U$58 + IF($B$2="mil",1,0.0254)*DDR2Specs!$F$9</f>
        <v>#REF!</v>
      </c>
      <c r="W75" s="491" t="e">
        <f>IF($T75&lt;$U75,$U75-$T75,"Pass")</f>
        <v>#REF!</v>
      </c>
      <c r="X75" s="492" t="e">
        <f>IF($T75&gt;$V75,$T75-$V75,"Pass")</f>
        <v>#REF!</v>
      </c>
      <c r="Y75" s="490">
        <f t="shared" si="42"/>
        <v>4351.7199999999993</v>
      </c>
      <c r="Z75" s="479" t="e">
        <f t="shared" si="43"/>
        <v>#REF!</v>
      </c>
      <c r="AA75" s="469" t="e">
        <f>$AB$58 + IF($B$2="mil",1,0.0254)*DDR2Specs!$E$9</f>
        <v>#REF!</v>
      </c>
      <c r="AB75" s="469" t="e">
        <f>$AA$58 + IF($B$2="mil",1,0.0254)*DDR2Specs!$F$9</f>
        <v>#REF!</v>
      </c>
      <c r="AC75" s="491" t="e">
        <f>IF($Z75&lt;$AA75,$AA75-$Z75,"Pass")</f>
        <v>#REF!</v>
      </c>
      <c r="AD75" s="492" t="e">
        <f>IF($Z75&gt;$AB75,$Z75-$AB75,"Pass")</f>
        <v>#REF!</v>
      </c>
      <c r="AE75" s="2"/>
      <c r="AF75" s="2"/>
      <c r="AG75" s="2"/>
      <c r="AH75" s="2"/>
      <c r="AI75" s="2"/>
      <c r="AJ75" s="2"/>
      <c r="AK75" s="2"/>
      <c r="AL75" s="2"/>
      <c r="AM75" s="503" t="s">
        <v>102</v>
      </c>
      <c r="AN75" s="473" t="e">
        <f ca="1">CheckLength2(IF($B$2="mil",1,0.0254)*1200,N49,Q75,0)</f>
        <v>#NAME?</v>
      </c>
      <c r="AO75" s="473" t="e">
        <f ca="1">CheckLength2(IF($B$2="mil",1,0.0254)*1200,N49,R75,0)</f>
        <v>#NAME?</v>
      </c>
      <c r="AP75" s="473" t="e">
        <f>IF(AND(S75&gt;=IF($B$2="mil",1,0.0254)*500, $S75&lt;=IF($B$2="mil",1,0.0254)*6500),"Pass",IF($B$2="mil",1,0.0254)*6500-$S75)</f>
        <v>#REF!</v>
      </c>
      <c r="AQ75" s="504" t="e">
        <f>IF(AND($T75&gt;=IF($B$2="mil",1,0.0254)*500, $T75&lt;=IF($B$2="mil",1,0.0254)*7000),"Pass",IF($B$2="mil",1,0.0254)*7000-$T75)</f>
        <v>#REF!</v>
      </c>
      <c r="AR75" s="473" t="e">
        <f>IF(AND($Y75&gt;=IF($B$2="mil",1,0.0254)*500, $Y75&lt;=IF($B$2="mil",1,0.0254)*6500),"Pass",IF($B$2="mil",1,0.0254)*6500-$Y75)</f>
        <v>#REF!</v>
      </c>
      <c r="AS75" s="474" t="e">
        <f>IF(AND($Z75&gt;=IF($B$2="mil",1,0.0254)*500, $Z75&lt;=IF($B$2="mil",1,0.0254)*7000),"Pass",IF($B$2="mil",1,0.0254)*7000-$Z75)</f>
        <v>#REF!</v>
      </c>
      <c r="AT75" s="4" t="e">
        <f t="shared" ca="1" si="50"/>
        <v>#REF!</v>
      </c>
      <c r="AU75" s="2"/>
    </row>
    <row r="76" spans="14:47" x14ac:dyDescent="0.2">
      <c r="N76" s="2"/>
      <c r="O76" s="2"/>
      <c r="P76" s="215" t="s">
        <v>103</v>
      </c>
      <c r="Q76" s="551">
        <v>74.88</v>
      </c>
      <c r="R76" s="551">
        <v>137.08000000000001</v>
      </c>
      <c r="S76" s="490">
        <f t="shared" si="40"/>
        <v>4407.8100000000004</v>
      </c>
      <c r="T76" s="479" t="e">
        <f t="shared" si="41"/>
        <v>#REF!</v>
      </c>
      <c r="U76" s="469" t="e">
        <f>$V$58 + IF($B$2="mil",1,0.0254)*DDR2Specs!$E$9</f>
        <v>#REF!</v>
      </c>
      <c r="V76" s="492" t="e">
        <f>$U$58 + IF($B$2="mil",1,0.0254)*DDR2Specs!$F$9</f>
        <v>#REF!</v>
      </c>
      <c r="W76" s="491" t="e">
        <f>IF($T76&lt;$U76,$U76-$T76,"Pass")</f>
        <v>#REF!</v>
      </c>
      <c r="X76" s="492" t="e">
        <f>IF($T76&gt;$V76,$T76-$V76,"Pass")</f>
        <v>#REF!</v>
      </c>
      <c r="Y76" s="490">
        <f t="shared" si="42"/>
        <v>4470.01</v>
      </c>
      <c r="Z76" s="479" t="e">
        <f t="shared" si="43"/>
        <v>#REF!</v>
      </c>
      <c r="AA76" s="469" t="e">
        <f>$AB$58 + IF($B$2="mil",1,0.0254)*DDR2Specs!$E$9</f>
        <v>#REF!</v>
      </c>
      <c r="AB76" s="469" t="e">
        <f>$AA$58 + IF($B$2="mil",1,0.0254)*DDR2Specs!$F$9</f>
        <v>#REF!</v>
      </c>
      <c r="AC76" s="491" t="e">
        <f>IF($Z76&lt;$AA76,$AA76-$Z76,"Pass")</f>
        <v>#REF!</v>
      </c>
      <c r="AD76" s="492" t="e">
        <f>IF($Z76&gt;$AB76,$Z76-$AB76,"Pass")</f>
        <v>#REF!</v>
      </c>
      <c r="AE76" s="2"/>
      <c r="AF76" s="2"/>
      <c r="AG76" s="2"/>
      <c r="AH76" s="2"/>
      <c r="AI76" s="2"/>
      <c r="AJ76" s="2"/>
      <c r="AK76" s="2"/>
      <c r="AL76" s="2"/>
      <c r="AM76" s="507" t="s">
        <v>103</v>
      </c>
      <c r="AN76" s="473" t="e">
        <f ca="1">CheckLength2(IF($B$2="mil",1,0.0254)*1200,N50,Q76,0)</f>
        <v>#NAME?</v>
      </c>
      <c r="AO76" s="473" t="e">
        <f ca="1">CheckLength2(IF($B$2="mil",1,0.0254)*1200,N50,R76,0)</f>
        <v>#NAME?</v>
      </c>
      <c r="AP76" s="473" t="e">
        <f>IF(AND(S76&gt;=IF($B$2="mil",1,0.0254)*500, $S76&lt;=IF($B$2="mil",1,0.0254)*6500),"Pass",IF($B$2="mil",1,0.0254)*6500-$S76)</f>
        <v>#REF!</v>
      </c>
      <c r="AQ76" s="504" t="e">
        <f>IF(AND($T76&gt;=IF($B$2="mil",1,0.0254)*500, $T76&lt;=IF($B$2="mil",1,0.0254)*7000),"Pass",IF($B$2="mil",1,0.0254)*7000-$T76)</f>
        <v>#REF!</v>
      </c>
      <c r="AR76" s="473" t="e">
        <f>IF(AND($Y76&gt;=IF($B$2="mil",1,0.0254)*500, $Y76&lt;=IF($B$2="mil",1,0.0254)*6500),"Pass",IF($B$2="mil",1,0.0254)*6500-$Y76)</f>
        <v>#REF!</v>
      </c>
      <c r="AS76" s="474" t="e">
        <f>IF(AND($Z76&gt;=IF($B$2="mil",1,0.0254)*500, $Z76&lt;=IF($B$2="mil",1,0.0254)*7000),"Pass",IF($B$2="mil",1,0.0254)*7000-$Z76)</f>
        <v>#REF!</v>
      </c>
      <c r="AT76" s="4" t="e">
        <f t="shared" ca="1" si="50"/>
        <v>#REF!</v>
      </c>
      <c r="AU76" s="2"/>
    </row>
    <row r="77" spans="14:47" x14ac:dyDescent="0.2">
      <c r="N77" s="2"/>
      <c r="O77" s="2"/>
      <c r="P77" s="215" t="s">
        <v>104</v>
      </c>
      <c r="Q77" s="551">
        <v>157.32</v>
      </c>
      <c r="R77" s="551">
        <v>179.65</v>
      </c>
      <c r="S77" s="490">
        <f t="shared" si="40"/>
        <v>4466.66</v>
      </c>
      <c r="T77" s="479" t="e">
        <f t="shared" si="41"/>
        <v>#REF!</v>
      </c>
      <c r="U77" s="469" t="e">
        <f>$V$58 + IF($B$2="mil",1,0.0254)*DDR2Specs!$E$9</f>
        <v>#REF!</v>
      </c>
      <c r="V77" s="492" t="e">
        <f>$U$58 + IF($B$2="mil",1,0.0254)*DDR2Specs!$F$9</f>
        <v>#REF!</v>
      </c>
      <c r="W77" s="491" t="e">
        <f>IF($T77&lt;$U77,$U77-$T77,"Pass")</f>
        <v>#REF!</v>
      </c>
      <c r="X77" s="492" t="e">
        <f>IF($T77&gt;$V77,$T77-$V77,"Pass")</f>
        <v>#REF!</v>
      </c>
      <c r="Y77" s="490">
        <f t="shared" si="42"/>
        <v>4488.99</v>
      </c>
      <c r="Z77" s="479" t="e">
        <f t="shared" si="43"/>
        <v>#REF!</v>
      </c>
      <c r="AA77" s="469" t="e">
        <f>$AB$58 + IF($B$2="mil",1,0.0254)*DDR2Specs!$E$9</f>
        <v>#REF!</v>
      </c>
      <c r="AB77" s="469" t="e">
        <f>$AA$58 + IF($B$2="mil",1,0.0254)*DDR2Specs!$F$9</f>
        <v>#REF!</v>
      </c>
      <c r="AC77" s="491" t="e">
        <f>IF($Z77&lt;$AA77,$AA77-$Z77,"Pass")</f>
        <v>#REF!</v>
      </c>
      <c r="AD77" s="492" t="e">
        <f>IF($Z77&gt;$AB77,$Z77-$AB77,"Pass")</f>
        <v>#REF!</v>
      </c>
      <c r="AE77" s="2"/>
      <c r="AF77" s="2"/>
      <c r="AG77" s="2"/>
      <c r="AH77" s="2"/>
      <c r="AI77" s="2"/>
      <c r="AJ77" s="2"/>
      <c r="AK77" s="508"/>
      <c r="AL77" s="2"/>
      <c r="AM77" s="507" t="s">
        <v>104</v>
      </c>
      <c r="AN77" s="473" t="e">
        <f ca="1">CheckLength2(IF($B$2="mil",1,0.0254)*1200,N51,Q77,0)</f>
        <v>#NAME?</v>
      </c>
      <c r="AO77" s="473" t="e">
        <f ca="1">CheckLength2(IF($B$2="mil",1,0.0254)*1200,N51,R77,0)</f>
        <v>#NAME?</v>
      </c>
      <c r="AP77" s="473" t="e">
        <f>IF(AND(S77&gt;=IF($B$2="mil",1,0.0254)*500, $S77&lt;=IF($B$2="mil",1,0.0254)*6500),"Pass",IF($B$2="mil",1,0.0254)*6500-$S77)</f>
        <v>#REF!</v>
      </c>
      <c r="AQ77" s="504" t="e">
        <f>IF(AND($T77&gt;=IF($B$2="mil",1,0.0254)*500, $T77&lt;=IF($B$2="mil",1,0.0254)*7000),"Pass",IF($B$2="mil",1,0.0254)*7000-$T77)</f>
        <v>#REF!</v>
      </c>
      <c r="AR77" s="473" t="e">
        <f>IF(AND($Y77&gt;=IF($B$2="mil",1,0.0254)*500, $Y77&lt;=IF($B$2="mil",1,0.0254)*6500),"Pass",IF($B$2="mil",1,0.0254)*6500-$Y77)</f>
        <v>#REF!</v>
      </c>
      <c r="AS77" s="474" t="e">
        <f>IF(AND($Z77&gt;=IF($B$2="mil",1,0.0254)*500, $Z77&lt;=IF($B$2="mil",1,0.0254)*7000),"Pass",IF($B$2="mil",1,0.0254)*7000-$Z77)</f>
        <v>#REF!</v>
      </c>
      <c r="AT77" s="4" t="e">
        <f t="shared" ca="1" si="50"/>
        <v>#REF!</v>
      </c>
      <c r="AU77" s="2"/>
    </row>
    <row r="78" spans="14:47" x14ac:dyDescent="0.2">
      <c r="N78" s="2"/>
      <c r="O78" s="2"/>
      <c r="P78" s="180" t="s">
        <v>279</v>
      </c>
      <c r="Q78" s="182"/>
      <c r="R78" s="182"/>
      <c r="S78" s="182"/>
      <c r="T78" s="182"/>
      <c r="U78" s="182"/>
      <c r="V78" s="515"/>
      <c r="W78" s="385"/>
      <c r="X78" s="385"/>
      <c r="Y78" s="182"/>
      <c r="Z78" s="182"/>
      <c r="AA78" s="182"/>
      <c r="AB78" s="182"/>
      <c r="AC78" s="385"/>
      <c r="AD78" s="385"/>
      <c r="AE78" s="2"/>
      <c r="AF78" s="2"/>
      <c r="AG78" s="2"/>
      <c r="AH78" s="2"/>
      <c r="AI78" s="2"/>
      <c r="AJ78" s="2"/>
      <c r="AK78" s="2"/>
      <c r="AL78" s="2"/>
      <c r="AM78" s="134" t="s">
        <v>279</v>
      </c>
      <c r="AN78" s="385"/>
      <c r="AO78" s="385"/>
      <c r="AP78" s="385"/>
      <c r="AQ78" s="506"/>
      <c r="AR78" s="385"/>
      <c r="AS78" s="506"/>
      <c r="AT78" s="2"/>
      <c r="AU78" s="2"/>
    </row>
    <row r="79" spans="14:47" x14ac:dyDescent="0.2">
      <c r="N79" s="2"/>
      <c r="O79" s="2"/>
      <c r="P79" s="161" t="s">
        <v>106</v>
      </c>
      <c r="Q79" s="551">
        <v>76.510000000000005</v>
      </c>
      <c r="R79" s="551">
        <v>98.38</v>
      </c>
      <c r="S79" s="490">
        <f t="shared" si="40"/>
        <v>4286.3500000000004</v>
      </c>
      <c r="T79" s="479" t="e">
        <f t="shared" si="41"/>
        <v>#REF!</v>
      </c>
      <c r="U79" s="469" t="e">
        <f>$V$58 + IF($B$2="mil",1,0.0254)*DDR2Specs!$E$9</f>
        <v>#REF!</v>
      </c>
      <c r="V79" s="492" t="e">
        <f>$U$58 + IF($B$2="mil",1,0.0254)*DDR2Specs!$F$9</f>
        <v>#REF!</v>
      </c>
      <c r="W79" s="491" t="e">
        <f>IF($T79&lt;$U79,$U79-$T79,"Pass")</f>
        <v>#REF!</v>
      </c>
      <c r="X79" s="492" t="e">
        <f>IF($T79&gt;$V79,$T79-$V79,"Pass")</f>
        <v>#REF!</v>
      </c>
      <c r="Y79" s="490">
        <f t="shared" si="42"/>
        <v>4308.22</v>
      </c>
      <c r="Z79" s="479" t="e">
        <f t="shared" si="43"/>
        <v>#REF!</v>
      </c>
      <c r="AA79" s="469" t="e">
        <f>$AB$58 + IF($B$2="mil",1,0.0254)*DDR2Specs!$E$9</f>
        <v>#REF!</v>
      </c>
      <c r="AB79" s="469" t="e">
        <f>$AA$58 + IF($B$2="mil",1,0.0254)*DDR2Specs!$F$9</f>
        <v>#REF!</v>
      </c>
      <c r="AC79" s="491" t="e">
        <f>IF($Z79&lt;$AA79,$AA79-$Z79,"Pass")</f>
        <v>#REF!</v>
      </c>
      <c r="AD79" s="492" t="e">
        <f>IF($Z79&gt;$AB79,$Z79-$AB79,"Pass")</f>
        <v>#REF!</v>
      </c>
      <c r="AE79" s="2"/>
      <c r="AF79" s="2"/>
      <c r="AG79" s="2"/>
      <c r="AH79" s="2"/>
      <c r="AI79" s="2"/>
      <c r="AJ79" s="2"/>
      <c r="AK79" s="2"/>
      <c r="AL79" s="2"/>
      <c r="AM79" s="503" t="s">
        <v>106</v>
      </c>
      <c r="AN79" s="473" t="e">
        <f ca="1">CheckLength2(IF($B$2="mil",1,0.0254)*1200,N53,Q79,0)</f>
        <v>#NAME?</v>
      </c>
      <c r="AO79" s="473" t="e">
        <f ca="1">CheckLength2(IF($B$2="mil",1,0.0254)*1200,N53,R79,0)</f>
        <v>#NAME?</v>
      </c>
      <c r="AP79" s="473" t="e">
        <f>IF(AND(S79&gt;=IF($B$2="mil",1,0.0254)*500, $S79&lt;=IF($B$2="mil",1,0.0254)*6500),"Pass",IF($B$2="mil",1,0.0254)*6500-$S79)</f>
        <v>#REF!</v>
      </c>
      <c r="AQ79" s="504" t="e">
        <f>IF(AND($T79&gt;=IF($B$2="mil",1,0.0254)*500, $T79&lt;=IF($B$2="mil",1,0.0254)*7000),"Pass",IF($B$2="mil",1,0.0254)*7000-$T79)</f>
        <v>#REF!</v>
      </c>
      <c r="AR79" s="473" t="e">
        <f>IF(AND($Y79&gt;=IF($B$2="mil",1,0.0254)*500, $Y79&lt;=IF($B$2="mil",1,0.0254)*6500),"Pass",IF($B$2="mil",1,0.0254)*6500-$Y79)</f>
        <v>#REF!</v>
      </c>
      <c r="AS79" s="474" t="e">
        <f>IF(AND($Z79&gt;=IF($B$2="mil",1,0.0254)*500, $Z79&lt;=IF($B$2="mil",1,0.0254)*7000),"Pass",IF($B$2="mil",1,0.0254)*7000-$Z79)</f>
        <v>#REF!</v>
      </c>
      <c r="AT79" s="4" t="e">
        <f t="shared" ca="1" si="50"/>
        <v>#REF!</v>
      </c>
      <c r="AU79" s="2"/>
    </row>
    <row r="80" spans="14:47" x14ac:dyDescent="0.2">
      <c r="N80" s="2"/>
      <c r="O80" s="2"/>
      <c r="P80" s="214" t="s">
        <v>107</v>
      </c>
      <c r="Q80" s="551">
        <v>82.91</v>
      </c>
      <c r="R80" s="551">
        <v>95.65</v>
      </c>
      <c r="S80" s="490">
        <f t="shared" si="40"/>
        <v>4217.33</v>
      </c>
      <c r="T80" s="479" t="e">
        <f t="shared" si="41"/>
        <v>#REF!</v>
      </c>
      <c r="U80" s="469" t="e">
        <f>$V$58 + IF($B$2="mil",1,0.0254)*DDR2Specs!$E$9</f>
        <v>#REF!</v>
      </c>
      <c r="V80" s="492" t="e">
        <f>$U$58 + IF($B$2="mil",1,0.0254)*DDR2Specs!$F$9</f>
        <v>#REF!</v>
      </c>
      <c r="W80" s="491" t="e">
        <f>IF($T80&lt;$U80,$U80-$T80,"Pass")</f>
        <v>#REF!</v>
      </c>
      <c r="X80" s="492" t="e">
        <f>IF($T80&gt;$V80,$T80-$V80,"Pass")</f>
        <v>#REF!</v>
      </c>
      <c r="Y80" s="490">
        <f t="shared" si="42"/>
        <v>4230.07</v>
      </c>
      <c r="Z80" s="479" t="e">
        <f t="shared" si="43"/>
        <v>#REF!</v>
      </c>
      <c r="AA80" s="469" t="e">
        <f>$AB$58 + IF($B$2="mil",1,0.0254)*DDR2Specs!$E$9</f>
        <v>#REF!</v>
      </c>
      <c r="AB80" s="469" t="e">
        <f>$AA$58 + IF($B$2="mil",1,0.0254)*DDR2Specs!$F$9</f>
        <v>#REF!</v>
      </c>
      <c r="AC80" s="491" t="e">
        <f>IF($Z80&lt;$AA80,$AA80-$Z80,"Pass")</f>
        <v>#REF!</v>
      </c>
      <c r="AD80" s="492" t="e">
        <f>IF($Z80&gt;$AB80,$Z80-$AB80,"Pass")</f>
        <v>#REF!</v>
      </c>
      <c r="AE80" s="2"/>
      <c r="AF80" s="2"/>
      <c r="AG80" s="2"/>
      <c r="AH80" s="2"/>
      <c r="AI80" s="2"/>
      <c r="AJ80" s="2"/>
      <c r="AK80" s="2"/>
      <c r="AL80" s="2"/>
      <c r="AM80" s="505" t="s">
        <v>107</v>
      </c>
      <c r="AN80" s="473" t="e">
        <f ca="1">CheckLength2(IF($B$2="mil",1,0.0254)*1200,N54,Q80,0)</f>
        <v>#NAME?</v>
      </c>
      <c r="AO80" s="473" t="e">
        <f ca="1">CheckLength2(IF($B$2="mil",1,0.0254)*1200,N54,R80,0)</f>
        <v>#NAME?</v>
      </c>
      <c r="AP80" s="473" t="e">
        <f>IF(AND(S80&gt;=IF($B$2="mil",1,0.0254)*500, $S80&lt;=IF($B$2="mil",1,0.0254)*6500),"Pass",IF($B$2="mil",1,0.0254)*6500-$S80)</f>
        <v>#REF!</v>
      </c>
      <c r="AQ80" s="504" t="e">
        <f>IF(AND($T80&gt;=IF($B$2="mil",1,0.0254)*500, $T80&lt;=IF($B$2="mil",1,0.0254)*7000),"Pass",IF($B$2="mil",1,0.0254)*7000-$T80)</f>
        <v>#REF!</v>
      </c>
      <c r="AR80" s="473" t="e">
        <f>IF(AND($Y80&gt;=IF($B$2="mil",1,0.0254)*500, $Y80&lt;=IF($B$2="mil",1,0.0254)*6500),"Pass",IF($B$2="mil",1,0.0254)*6500-$Y80)</f>
        <v>#REF!</v>
      </c>
      <c r="AS80" s="474" t="e">
        <f>IF(AND($Z80&gt;=IF($B$2="mil",1,0.0254)*500, $Z80&lt;=IF($B$2="mil",1,0.0254)*7000),"Pass",IF($B$2="mil",1,0.0254)*7000-$Z80)</f>
        <v>#REF!</v>
      </c>
      <c r="AT80" s="4" t="e">
        <f t="shared" ca="1" si="50"/>
        <v>#REF!</v>
      </c>
      <c r="AU80" s="2"/>
    </row>
    <row r="81" spans="13:47" x14ac:dyDescent="0.2">
      <c r="M81" s="312"/>
      <c r="N81" s="2"/>
      <c r="O81" s="2"/>
      <c r="P81" s="214" t="s">
        <v>108</v>
      </c>
      <c r="Q81" s="551">
        <v>107.41</v>
      </c>
      <c r="R81" s="551">
        <v>46.82</v>
      </c>
      <c r="S81" s="490">
        <f t="shared" si="40"/>
        <v>4362.95</v>
      </c>
      <c r="T81" s="479" t="e">
        <f>$S81+IF($B$2="mil",1,0.0254)*$C55</f>
        <v>#REF!</v>
      </c>
      <c r="U81" s="469" t="e">
        <f>$V$58 + IF($B$2="mil",1,0.0254)*DDR2Specs!$E$9</f>
        <v>#REF!</v>
      </c>
      <c r="V81" s="492" t="e">
        <f>$U$58 + IF($B$2="mil",1,0.0254)*DDR2Specs!$F$9</f>
        <v>#REF!</v>
      </c>
      <c r="W81" s="491" t="e">
        <f>IF($T81&lt;$U81,$U81-$T81,"Pass")</f>
        <v>#REF!</v>
      </c>
      <c r="X81" s="492" t="e">
        <f>IF($T81&gt;$V81,$T81-$V81,"Pass")</f>
        <v>#REF!</v>
      </c>
      <c r="Y81" s="490">
        <f t="shared" si="42"/>
        <v>4302.3599999999997</v>
      </c>
      <c r="Z81" s="479" t="e">
        <f>$Y81+IF($B$2="mil",1,0.0254)*$C55</f>
        <v>#REF!</v>
      </c>
      <c r="AA81" s="469" t="e">
        <f>$AB$58 + IF($B$2="mil",1,0.0254)*DDR2Specs!$E$9</f>
        <v>#REF!</v>
      </c>
      <c r="AB81" s="469" t="e">
        <f>$AA$58 + IF($B$2="mil",1,0.0254)*DDR2Specs!$F$9</f>
        <v>#REF!</v>
      </c>
      <c r="AC81" s="491" t="e">
        <f>IF($Z81&lt;$AA81,$AA81-$Z81,"Pass")</f>
        <v>#REF!</v>
      </c>
      <c r="AD81" s="492" t="e">
        <f>IF($Z81&gt;$AB81,$Z81-$AB81,"Pass")</f>
        <v>#REF!</v>
      </c>
      <c r="AE81" s="2"/>
      <c r="AF81" s="2"/>
      <c r="AG81" s="2"/>
      <c r="AH81" s="2"/>
      <c r="AI81" s="2"/>
      <c r="AJ81" s="2"/>
      <c r="AK81" s="2"/>
      <c r="AL81" s="2"/>
      <c r="AM81" s="505" t="s">
        <v>108</v>
      </c>
      <c r="AN81" s="473" t="e">
        <f ca="1">CheckLength2(IF($B$2="mil",1,0.0254)*1200,N55,Q81,0)</f>
        <v>#NAME?</v>
      </c>
      <c r="AO81" s="473" t="e">
        <f ca="1">CheckLength2(IF($B$2="mil",1,0.0254)*1200,N55,R81,0)</f>
        <v>#NAME?</v>
      </c>
      <c r="AP81" s="473" t="e">
        <f>IF(AND(S81&gt;=IF($B$2="mil",1,0.0254)*500, $S81&lt;=IF($B$2="mil",1,0.0254)*6500),"Pass",IF($B$2="mil",1,0.0254)*6500-$S81)</f>
        <v>#REF!</v>
      </c>
      <c r="AQ81" s="504" t="e">
        <f>IF(AND($T81&gt;=IF($B$2="mil",1,0.0254)*500, $T81&lt;=IF($B$2="mil",1,0.0254)*7000),"Pass",IF($B$2="mil",1,0.0254)*7000-$T81)</f>
        <v>#REF!</v>
      </c>
      <c r="AR81" s="473" t="e">
        <f>IF(AND($Y81&gt;=IF($B$2="mil",1,0.0254)*500, $Y81&lt;=IF($B$2="mil",1,0.0254)*6500),"Pass",IF($B$2="mil",1,0.0254)*6500-$Y81)</f>
        <v>#REF!</v>
      </c>
      <c r="AS81" s="474" t="e">
        <f>IF(AND($Z81&gt;=IF($B$2="mil",1,0.0254)*500, $Z81&lt;=IF($B$2="mil",1,0.0254)*7000),"Pass",IF($B$2="mil",1,0.0254)*7000-$Z81)</f>
        <v>#REF!</v>
      </c>
      <c r="AT81" s="4" t="e">
        <f t="shared" ca="1" si="50"/>
        <v>#REF!</v>
      </c>
      <c r="AU81" s="2"/>
    </row>
    <row r="82" spans="13:47" x14ac:dyDescent="0.2">
      <c r="N82" s="289" t="s">
        <v>494</v>
      </c>
      <c r="O82" s="289"/>
      <c r="P82" s="123" t="e">
        <f>"Trace L6-2 ["&amp;$B$2&amp;"]"</f>
        <v>#REF!</v>
      </c>
      <c r="Q82" s="123" t="e">
        <f>"Trace L8-5 to U3 ["&amp;$B$2&amp;"]"</f>
        <v>#REF!</v>
      </c>
      <c r="R82" s="123" t="e">
        <f>"Trace L8-6 to U7 ["&amp;$B$2&amp;"]"</f>
        <v>#REF!</v>
      </c>
      <c r="S82" s="495" t="e">
        <f>"Total MB Length to U3 (L0+L1+L2+L5+L6-2+L8-5) ["&amp;$B$2&amp;"]"</f>
        <v>#REF!</v>
      </c>
      <c r="T82" s="495" t="e">
        <f>"Total Pad to Pin U3 (P1+L0+L1+L2+L5+L6-2+L8-5) ["&amp;$B$2&amp;"]"</f>
        <v>#REF!</v>
      </c>
      <c r="U82" s="496" t="e">
        <f>"Target Min Length to U3
["&amp;$B$2&amp;"]"</f>
        <v>#REF!</v>
      </c>
      <c r="V82" s="497" t="e">
        <f>"Target Max Length to U3 
["&amp;$B$2&amp;"]"</f>
        <v>#REF!</v>
      </c>
      <c r="W82" s="498" t="e">
        <f>"Routed Too Short to U3 [" &amp;$B$2&amp;"]"</f>
        <v>#REF!</v>
      </c>
      <c r="X82" s="496" t="e">
        <f>"Routed Too Long to U3 [" &amp;$B$2&amp;"]"</f>
        <v>#REF!</v>
      </c>
      <c r="Y82" s="495" t="e">
        <f>"Total MB Length to U7 (L0+L1+L2+L5+L6-2+L8-6) ["&amp;$B$2&amp;"]"</f>
        <v>#REF!</v>
      </c>
      <c r="Z82" s="495" t="e">
        <f>"Total Pad to Pin U7 (P1+L0+L1+L2+L5+L6-2+L8-6) ["&amp;$B$2&amp;"]"</f>
        <v>#REF!</v>
      </c>
      <c r="AA82" s="496" t="e">
        <f>"Target Min Length to U7
["&amp;$B$2&amp;"]"</f>
        <v>#REF!</v>
      </c>
      <c r="AB82" s="497" t="e">
        <f>"Target Max Length to U7 
["&amp;$B$2&amp;"]"</f>
        <v>#REF!</v>
      </c>
      <c r="AC82" s="498" t="e">
        <f>"Routed Too Short to U7 [" &amp;$B$2&amp;"]"</f>
        <v>#REF!</v>
      </c>
      <c r="AD82" s="496" t="e">
        <f>"Routed Too Long to U7 [" &amp;$B$2&amp;"]"</f>
        <v>#REF!</v>
      </c>
      <c r="AE82" s="2"/>
      <c r="AF82" s="2"/>
      <c r="AG82" s="2"/>
      <c r="AH82" s="2"/>
      <c r="AI82" s="499" t="s">
        <v>494</v>
      </c>
      <c r="AJ82" s="500" t="e">
        <f>"L6-2 Length Test (&lt;=" &amp; IF($B$2="mil",1,0.0254)*1000&amp;$B$2&amp;")"</f>
        <v>#REF!</v>
      </c>
      <c r="AK82" s="2"/>
      <c r="AL82" s="2"/>
      <c r="AM82" s="499" t="s">
        <v>494</v>
      </c>
      <c r="AN82" s="500" t="e">
        <f>"L8-5 Length Test (&lt;=" &amp; IF($B$2="mil",1,0.0254)*200&amp;$B$2&amp;") or (L6-2+L8-5&lt;= "&amp;IF($B$2="mil",1,0.0254)*1200&amp;$B$2&amp;")"</f>
        <v>#REF!</v>
      </c>
      <c r="AO82" s="500" t="e">
        <f>"L8-6 Length Test (&lt;=" &amp; IF($B$2="mil",1,0.0254)*200&amp;$B$2&amp;") or (L6-2+L8-6&lt;= "&amp;IF($B$2="mil",1,0.0254)*1200&amp;$B$2&amp;")"</f>
        <v>#REF!</v>
      </c>
      <c r="AP82" s="497" t="e">
        <f>"Total Length to U3 (L0+L1+L2+L5+L6-2+L8-5) Test
 ("&amp;IF($B$2="mil",1,0.0254)*500&amp;"-"&amp;IF($B$2="mil",1,0.0254)*6500&amp;IF($B$2="mil","mil","mm")&amp;")"</f>
        <v>#REF!</v>
      </c>
      <c r="AQ82" s="497" t="e">
        <f>"Total Length to U3 (P1+L0+L1+L2+L5+L6-2+L8-5) Test
 (&lt;="&amp;IF($B$2="mil",1,25.4)*7000&amp;IF($B$2="mil","mil","mm")&amp;")"</f>
        <v>#REF!</v>
      </c>
      <c r="AR82" s="500" t="e">
        <f>"Total Length to U7 (L0+L1+L2+L5+L6-2+L8-6) Test
 ("&amp;IF($B$2="mil",1,0.0254)*500&amp;"-"&amp;IF($B$2="mil",1,0.0254)*6500&amp;IF($B$2="mil","mil","mm")&amp;")"</f>
        <v>#REF!</v>
      </c>
      <c r="AS82" s="497" t="e">
        <f>"Total Length to U7 (P1+L0+L1+L2+L5+L6-2+L8-6) Test
 (&lt;="&amp;IF($B$2="mil",1,25.4)*7000&amp;IF($B$2="mil","mil","mm")&amp;")"</f>
        <v>#REF!</v>
      </c>
      <c r="AT82" s="2"/>
      <c r="AU82" s="2"/>
    </row>
    <row r="83" spans="13:47" x14ac:dyDescent="0.2">
      <c r="N83" s="134" t="s">
        <v>258</v>
      </c>
      <c r="O83" s="134"/>
      <c r="P83" s="135"/>
      <c r="Q83" s="135"/>
      <c r="R83" s="135"/>
      <c r="S83" s="135"/>
      <c r="T83" s="135"/>
      <c r="U83" s="135"/>
      <c r="V83" s="385"/>
      <c r="W83" s="135"/>
      <c r="X83" s="135"/>
      <c r="Y83" s="135"/>
      <c r="Z83" s="135"/>
      <c r="AA83" s="135"/>
      <c r="AB83" s="135"/>
      <c r="AC83" s="135"/>
      <c r="AD83" s="135"/>
      <c r="AE83" s="2"/>
      <c r="AF83" s="2"/>
      <c r="AG83" s="2"/>
      <c r="AH83" s="2"/>
      <c r="AI83" s="134" t="s">
        <v>258</v>
      </c>
      <c r="AJ83" s="135"/>
      <c r="AK83" s="2"/>
      <c r="AL83" s="2"/>
      <c r="AM83" s="134" t="s">
        <v>258</v>
      </c>
      <c r="AN83" s="135"/>
      <c r="AO83" s="135"/>
      <c r="AP83" s="135"/>
      <c r="AQ83" s="137"/>
      <c r="AR83" s="135"/>
      <c r="AS83" s="137"/>
      <c r="AT83" s="2"/>
      <c r="AU83" s="2"/>
    </row>
    <row r="84" spans="13:47" x14ac:dyDescent="0.2">
      <c r="N84" s="235" t="s">
        <v>262</v>
      </c>
      <c r="O84" s="235"/>
      <c r="P84" s="143"/>
      <c r="Q84" s="143"/>
      <c r="R84" s="143"/>
      <c r="S84" s="143"/>
      <c r="T84" s="502" t="s">
        <v>274</v>
      </c>
      <c r="U84" s="487" t="e">
        <f>MIN('DDR2 Clocks - 4L'!$O$13:$O$14)</f>
        <v>#REF!</v>
      </c>
      <c r="V84" s="484" t="e">
        <f>MAX('DDR2 Clocks - 4L'!$O$13:$O$14)</f>
        <v>#REF!</v>
      </c>
      <c r="W84" s="487"/>
      <c r="X84" s="145"/>
      <c r="Y84" s="143"/>
      <c r="Z84" s="502" t="s">
        <v>334</v>
      </c>
      <c r="AA84" s="487" t="e">
        <f>MIN('DDR2 Clocks - 4L'!$O$15:$O$16)</f>
        <v>#REF!</v>
      </c>
      <c r="AB84" s="486" t="e">
        <f>MAX('DDR2 Clocks - 4L'!$O$15:$O$16)</f>
        <v>#REF!</v>
      </c>
      <c r="AC84" s="487"/>
      <c r="AD84" s="145"/>
      <c r="AE84" s="2"/>
      <c r="AF84" s="2"/>
      <c r="AG84" s="2"/>
      <c r="AH84" s="2"/>
      <c r="AI84" s="140" t="s">
        <v>262</v>
      </c>
      <c r="AJ84" s="483"/>
      <c r="AK84" s="2"/>
      <c r="AL84" s="2"/>
      <c r="AM84" s="140" t="s">
        <v>262</v>
      </c>
      <c r="AN84" s="483"/>
      <c r="AO84" s="483"/>
      <c r="AP84" s="483"/>
      <c r="AQ84" s="484"/>
      <c r="AR84" s="483"/>
      <c r="AS84" s="484"/>
      <c r="AT84" s="2"/>
      <c r="AU84" s="2"/>
    </row>
    <row r="85" spans="13:47" x14ac:dyDescent="0.2">
      <c r="N85" s="180" t="s">
        <v>277</v>
      </c>
      <c r="O85" s="365"/>
      <c r="P85" s="157"/>
      <c r="Q85" s="157"/>
      <c r="R85" s="157"/>
      <c r="S85" s="157"/>
      <c r="T85" s="157"/>
      <c r="U85" s="155"/>
      <c r="V85" s="514"/>
      <c r="W85" s="476"/>
      <c r="X85" s="155"/>
      <c r="Y85" s="157"/>
      <c r="Z85" s="157"/>
      <c r="AA85" s="155"/>
      <c r="AB85" s="476"/>
      <c r="AC85" s="476"/>
      <c r="AD85" s="155"/>
      <c r="AE85" s="2"/>
      <c r="AF85" s="2"/>
      <c r="AG85" s="2"/>
      <c r="AH85" s="2"/>
      <c r="AI85" s="134" t="s">
        <v>277</v>
      </c>
      <c r="AJ85" s="155"/>
      <c r="AK85" s="2"/>
      <c r="AL85" s="2"/>
      <c r="AM85" s="134" t="s">
        <v>277</v>
      </c>
      <c r="AN85" s="155"/>
      <c r="AO85" s="155"/>
      <c r="AP85" s="155"/>
      <c r="AQ85" s="244"/>
      <c r="AR85" s="155"/>
      <c r="AS85" s="244"/>
      <c r="AT85" s="2"/>
      <c r="AU85" s="2"/>
    </row>
    <row r="86" spans="13:47" x14ac:dyDescent="0.2">
      <c r="N86" s="162" t="s">
        <v>244</v>
      </c>
      <c r="O86" s="162"/>
      <c r="P86">
        <v>427.6</v>
      </c>
      <c r="Q86">
        <v>150.75</v>
      </c>
      <c r="R86">
        <v>179.25</v>
      </c>
      <c r="S86" s="490">
        <f>SUM($E34:$G34,$M34,$P86,$Q86)</f>
        <v>4331.72</v>
      </c>
      <c r="T86" s="479" t="e">
        <f>$S86+IF($B$2="mil",1,0.0254)*$C34</f>
        <v>#REF!</v>
      </c>
      <c r="U86" s="469" t="e">
        <f>$V$84 + IF($B$2="mil",1,0.0254)*DDR2Specs!$E$9</f>
        <v>#REF!</v>
      </c>
      <c r="V86" s="492" t="e">
        <f>$U$84 + IF($B$2="mil",1,0.0254)*DDR2Specs!$F$9</f>
        <v>#REF!</v>
      </c>
      <c r="W86" s="491" t="e">
        <f t="shared" ref="W86:W99" si="51">IF($T86&lt;$U86,$U86-$T86,"Pass")</f>
        <v>#REF!</v>
      </c>
      <c r="X86" s="492" t="e">
        <f t="shared" ref="X86:X99" si="52">IF($T86&gt;$V86,$T86-$V86,"Pass")</f>
        <v>#REF!</v>
      </c>
      <c r="Y86" s="490">
        <f>SUM($E34:$G34,$M34,$P86,$R86)</f>
        <v>4360.22</v>
      </c>
      <c r="Z86" s="479" t="e">
        <f>$Y86+IF($B$2="mil",1,0.0254)*$C34</f>
        <v>#REF!</v>
      </c>
      <c r="AA86" s="469" t="e">
        <f>$AB$84 + IF($B$2="mil",1,0.0254)*DDR2Specs!$E$9</f>
        <v>#REF!</v>
      </c>
      <c r="AB86" s="469" t="e">
        <f>$AA$84 + IF($B$2="mil",1,0.0254)*DDR2Specs!$F$9</f>
        <v>#REF!</v>
      </c>
      <c r="AC86" s="491" t="e">
        <f t="shared" ref="AC86:AC99" si="53">IF($Z86&lt;$AA86,$AA86-$Z86,"Pass")</f>
        <v>#REF!</v>
      </c>
      <c r="AD86" s="492" t="e">
        <f t="shared" ref="AD86:AD99" si="54">IF($Z86&gt;$AB86,$Z86-$AB86,"Pass")</f>
        <v>#REF!</v>
      </c>
      <c r="AE86" s="2"/>
      <c r="AF86" s="2"/>
      <c r="AG86" s="2"/>
      <c r="AH86" s="2"/>
      <c r="AI86" s="509" t="s">
        <v>244</v>
      </c>
      <c r="AJ86" s="504" t="e">
        <f>IF(P86&lt;=IF($B$2="mil",1,0.0254)*1000,"Pass",IF($B$2="mil",1,0.0254)*1000-P86)</f>
        <v>#REF!</v>
      </c>
      <c r="AK86" s="2"/>
      <c r="AL86" s="2"/>
      <c r="AM86" s="503" t="s">
        <v>244</v>
      </c>
      <c r="AN86" s="473" t="e">
        <f ca="1">CheckLength2(IF($B$2="mil",1,0.0254)*1200,P86,Q86,0)</f>
        <v>#NAME?</v>
      </c>
      <c r="AO86" s="473" t="e">
        <f ca="1">CheckLength2(IF($B$2="mil",1,0.0254)*1200,P86,R86,0)</f>
        <v>#NAME?</v>
      </c>
      <c r="AP86" s="473" t="e">
        <f>IF(AND(S86&gt;=IF($B$2="mil",1,0.0254)*500, $S86&lt;=IF($B$2="mil",1,0.0254)*6500),"Pass",IF($B$2="mil",1,0.0254)*6500-$S86)</f>
        <v>#REF!</v>
      </c>
      <c r="AQ86" s="504" t="e">
        <f>IF(AND($T86&gt;=IF($B$2="mil",1,0.0254)*500, $T86&lt;=IF($B$2="mil",1,0.0254)*7000),"Pass",IF($B$2="mil",1,0.0254)*7000-$T86)</f>
        <v>#REF!</v>
      </c>
      <c r="AR86" s="473" t="e">
        <f>IF(AND($Y86&gt;=IF($B$2="mil",1,0.0254)*500, $Y86&lt;=IF($B$2="mil",1,0.0254)*6500),"Pass",IF($B$2="mil",1,0.0254)*6500-$Y86)</f>
        <v>#REF!</v>
      </c>
      <c r="AS86" s="474" t="e">
        <f>IF(AND($Z86&gt;=IF($B$2="mil",1,0.0254)*500, $Z86&lt;=IF($B$2="mil",1,0.0254)*7000),"Pass",IF($B$2="mil",1,0.0254)*7000-$Z86)</f>
        <v>#REF!</v>
      </c>
      <c r="AT86" s="4" t="e">
        <f ca="1">IF(AND(W86="Pass",X86="Pass",AN86="Pass",AO86="Pass",AP86="Pass",AQ86="Pass",AR86="Pass",AS86="Pass"),"Pass","Fail")</f>
        <v>#REF!</v>
      </c>
      <c r="AU86" s="4" t="e">
        <f ca="1">IF(AND(AT86="Pass",AT87="Pass",AT88="Pass",AT89="Pass",AT90="Pass",AT91="Pass",AT92="Pass",AT93="Pass",AT94="Pass",AT95="Pass",AT96="Pass"),"Pass","Fail")</f>
        <v>#REF!</v>
      </c>
    </row>
    <row r="87" spans="13:47" x14ac:dyDescent="0.2">
      <c r="N87" s="217" t="s">
        <v>87</v>
      </c>
      <c r="O87" s="217"/>
      <c r="P87">
        <v>547.28</v>
      </c>
      <c r="Q87">
        <v>151.04</v>
      </c>
      <c r="R87">
        <v>85.57</v>
      </c>
      <c r="S87" s="490">
        <f t="shared" ref="S87:S98" si="55">SUM($E35:$G35,$M35,$P87,$Q87)</f>
        <v>4253.6399999999994</v>
      </c>
      <c r="T87" s="479" t="e">
        <f t="shared" ref="T87:T106" si="56">$S87+IF($B$2="mil",1,0.0254)*$C35</f>
        <v>#REF!</v>
      </c>
      <c r="U87" s="469" t="e">
        <f>$V$84 + IF($B$2="mil",1,0.0254)*DDR2Specs!$E$9</f>
        <v>#REF!</v>
      </c>
      <c r="V87" s="492" t="e">
        <f>$U$84 + IF($B$2="mil",1,0.0254)*DDR2Specs!$F$9</f>
        <v>#REF!</v>
      </c>
      <c r="W87" s="491" t="e">
        <f t="shared" si="51"/>
        <v>#REF!</v>
      </c>
      <c r="X87" s="492" t="e">
        <f t="shared" si="52"/>
        <v>#REF!</v>
      </c>
      <c r="Y87" s="490">
        <f t="shared" ref="Y87:Y107" si="57">SUM($E35:$G35,$M35,$P87,$R87)</f>
        <v>4188.1699999999992</v>
      </c>
      <c r="Z87" s="479" t="e">
        <f t="shared" ref="Z87:Z106" si="58">$Y87+IF($B$2="mil",1,0.0254)*$C35</f>
        <v>#REF!</v>
      </c>
      <c r="AA87" s="469" t="e">
        <f>$AB$84 + IF($B$2="mil",1,0.0254)*DDR2Specs!$E$9</f>
        <v>#REF!</v>
      </c>
      <c r="AB87" s="469" t="e">
        <f>$AA$84 + IF($B$2="mil",1,0.0254)*DDR2Specs!$F$9</f>
        <v>#REF!</v>
      </c>
      <c r="AC87" s="491" t="e">
        <f t="shared" si="53"/>
        <v>#REF!</v>
      </c>
      <c r="AD87" s="492" t="e">
        <f t="shared" si="54"/>
        <v>#REF!</v>
      </c>
      <c r="AE87" s="2"/>
      <c r="AF87" s="2"/>
      <c r="AG87" s="2"/>
      <c r="AH87" s="2"/>
      <c r="AI87" s="510" t="s">
        <v>87</v>
      </c>
      <c r="AJ87" s="504" t="e">
        <f t="shared" ref="AJ87:AJ99" si="59">IF(P87&lt;=IF($B$2="mil",1,0.0254)*1000,"Pass",IF($B$2="mil",1,0.0254)*1000-P87)</f>
        <v>#REF!</v>
      </c>
      <c r="AK87" s="2"/>
      <c r="AL87" s="2"/>
      <c r="AM87" s="505" t="s">
        <v>87</v>
      </c>
      <c r="AN87" s="473" t="e">
        <f t="shared" ref="AN87:AN99" ca="1" si="60">CheckLength2(IF($B$2="mil",1,0.0254)*1200,P87,Q87,0)</f>
        <v>#NAME?</v>
      </c>
      <c r="AO87" s="473" t="e">
        <f t="shared" ref="AO87:AO99" ca="1" si="61">CheckLength2(IF($B$2="mil",1,0.0254)*1200,P87,R87,0)</f>
        <v>#NAME?</v>
      </c>
      <c r="AP87" s="473" t="e">
        <f t="shared" ref="AP87:AP99" si="62">IF(AND(S87&gt;=IF($B$2="mil",1,0.0254)*500, $S87&lt;=IF($B$2="mil",1,0.0254)*6500),"Pass",IF($B$2="mil",1,0.0254)*6500-$S87)</f>
        <v>#REF!</v>
      </c>
      <c r="AQ87" s="504" t="e">
        <f t="shared" ref="AQ87:AQ99" si="63">IF(AND($T87&gt;=IF($B$2="mil",1,0.0254)*500, $T87&lt;=IF($B$2="mil",1,0.0254)*7000),"Pass",IF($B$2="mil",1,0.0254)*7000-$T87)</f>
        <v>#REF!</v>
      </c>
      <c r="AR87" s="473" t="e">
        <f t="shared" ref="AR87:AR99" si="64">IF(AND($Y87&gt;=IF($B$2="mil",1,0.0254)*500, $Y87&lt;=IF($B$2="mil",1,0.0254)*6500),"Pass",IF($B$2="mil",1,0.0254)*6500-$Y87)</f>
        <v>#REF!</v>
      </c>
      <c r="AS87" s="474" t="e">
        <f t="shared" ref="AS87:AS99" si="65">IF(AND($Z87&gt;=IF($B$2="mil",1,0.0254)*500, $Z87&lt;=IF($B$2="mil",1,0.0254)*7000),"Pass",IF($B$2="mil",1,0.0254)*7000-$Z87)</f>
        <v>#REF!</v>
      </c>
      <c r="AT87" s="4" t="e">
        <f t="shared" ref="AT87:AT107" ca="1" si="66">IF(AND(W87="Pass",X87="Pass",AN87="Pass",AO87="Pass",AP87="Pass",AQ87="Pass",AR87="Pass",AS87="Pass"),"Pass","Fail")</f>
        <v>#REF!</v>
      </c>
      <c r="AU87" s="4" t="e">
        <f ca="1">IF(AND(AT97="Pass",AT98="Pass",AT99="Pass",AT101="Pass",AT102="Pass",AT103="Pass",AT105="Pass",AT106="Pass",AT107="Pass"),"Pass","Fail")</f>
        <v>#REF!</v>
      </c>
    </row>
    <row r="88" spans="13:47" x14ac:dyDescent="0.2">
      <c r="N88" s="217" t="s">
        <v>88</v>
      </c>
      <c r="O88" s="217"/>
      <c r="P88">
        <v>458.46</v>
      </c>
      <c r="Q88">
        <v>104.19</v>
      </c>
      <c r="R88">
        <v>89.68</v>
      </c>
      <c r="S88" s="490">
        <f t="shared" si="55"/>
        <v>4406.38</v>
      </c>
      <c r="T88" s="479" t="e">
        <f t="shared" si="56"/>
        <v>#REF!</v>
      </c>
      <c r="U88" s="469" t="e">
        <f>$V$84 + IF($B$2="mil",1,0.0254)*DDR2Specs!$E$9</f>
        <v>#REF!</v>
      </c>
      <c r="V88" s="492" t="e">
        <f>$U$84 + IF($B$2="mil",1,0.0254)*DDR2Specs!$F$9</f>
        <v>#REF!</v>
      </c>
      <c r="W88" s="491" t="e">
        <f t="shared" si="51"/>
        <v>#REF!</v>
      </c>
      <c r="X88" s="492" t="e">
        <f t="shared" si="52"/>
        <v>#REF!</v>
      </c>
      <c r="Y88" s="490">
        <f t="shared" si="57"/>
        <v>4391.8700000000008</v>
      </c>
      <c r="Z88" s="479" t="e">
        <f t="shared" si="58"/>
        <v>#REF!</v>
      </c>
      <c r="AA88" s="469" t="e">
        <f>$AB$84 + IF($B$2="mil",1,0.0254)*DDR2Specs!$E$9</f>
        <v>#REF!</v>
      </c>
      <c r="AB88" s="469" t="e">
        <f>$AA$84 + IF($B$2="mil",1,0.0254)*DDR2Specs!$F$9</f>
        <v>#REF!</v>
      </c>
      <c r="AC88" s="491" t="e">
        <f t="shared" si="53"/>
        <v>#REF!</v>
      </c>
      <c r="AD88" s="492" t="e">
        <f t="shared" si="54"/>
        <v>#REF!</v>
      </c>
      <c r="AE88" s="2"/>
      <c r="AF88" s="2"/>
      <c r="AG88" s="2"/>
      <c r="AH88" s="2"/>
      <c r="AI88" s="510" t="s">
        <v>88</v>
      </c>
      <c r="AJ88" s="504" t="e">
        <f t="shared" si="59"/>
        <v>#REF!</v>
      </c>
      <c r="AK88" s="2"/>
      <c r="AL88" s="2"/>
      <c r="AM88" s="505" t="s">
        <v>88</v>
      </c>
      <c r="AN88" s="473" t="e">
        <f t="shared" ca="1" si="60"/>
        <v>#NAME?</v>
      </c>
      <c r="AO88" s="473" t="e">
        <f t="shared" ca="1" si="61"/>
        <v>#NAME?</v>
      </c>
      <c r="AP88" s="473" t="e">
        <f t="shared" si="62"/>
        <v>#REF!</v>
      </c>
      <c r="AQ88" s="504" t="e">
        <f t="shared" si="63"/>
        <v>#REF!</v>
      </c>
      <c r="AR88" s="473" t="e">
        <f t="shared" si="64"/>
        <v>#REF!</v>
      </c>
      <c r="AS88" s="474" t="e">
        <f t="shared" si="65"/>
        <v>#REF!</v>
      </c>
      <c r="AT88" s="4" t="e">
        <f t="shared" ca="1" si="66"/>
        <v>#REF!</v>
      </c>
      <c r="AU88" s="2"/>
    </row>
    <row r="89" spans="13:47" x14ac:dyDescent="0.2">
      <c r="N89" s="217" t="s">
        <v>89</v>
      </c>
      <c r="O89" s="217"/>
      <c r="P89">
        <v>500.92</v>
      </c>
      <c r="Q89">
        <v>373.47</v>
      </c>
      <c r="R89">
        <v>424.94</v>
      </c>
      <c r="S89" s="490">
        <f t="shared" si="55"/>
        <v>4299</v>
      </c>
      <c r="T89" s="479" t="e">
        <f t="shared" si="56"/>
        <v>#REF!</v>
      </c>
      <c r="U89" s="469" t="e">
        <f>$V$84 + IF($B$2="mil",1,0.0254)*DDR2Specs!$E$9</f>
        <v>#REF!</v>
      </c>
      <c r="V89" s="492" t="e">
        <f>$U$84 + IF($B$2="mil",1,0.0254)*DDR2Specs!$F$9</f>
        <v>#REF!</v>
      </c>
      <c r="W89" s="491" t="e">
        <f t="shared" si="51"/>
        <v>#REF!</v>
      </c>
      <c r="X89" s="492" t="e">
        <f t="shared" si="52"/>
        <v>#REF!</v>
      </c>
      <c r="Y89" s="490">
        <f t="shared" si="57"/>
        <v>4350.47</v>
      </c>
      <c r="Z89" s="479" t="e">
        <f t="shared" si="58"/>
        <v>#REF!</v>
      </c>
      <c r="AA89" s="469" t="e">
        <f>$AB$84 + IF($B$2="mil",1,0.0254)*DDR2Specs!$E$9</f>
        <v>#REF!</v>
      </c>
      <c r="AB89" s="469" t="e">
        <f>$AA$84 + IF($B$2="mil",1,0.0254)*DDR2Specs!$F$9</f>
        <v>#REF!</v>
      </c>
      <c r="AC89" s="491" t="e">
        <f t="shared" si="53"/>
        <v>#REF!</v>
      </c>
      <c r="AD89" s="492" t="e">
        <f t="shared" si="54"/>
        <v>#REF!</v>
      </c>
      <c r="AE89" s="2"/>
      <c r="AF89" s="2"/>
      <c r="AG89" s="2"/>
      <c r="AH89" s="2"/>
      <c r="AI89" s="510" t="s">
        <v>89</v>
      </c>
      <c r="AJ89" s="504" t="e">
        <f t="shared" si="59"/>
        <v>#REF!</v>
      </c>
      <c r="AK89" s="2"/>
      <c r="AL89" s="2"/>
      <c r="AM89" s="505" t="s">
        <v>89</v>
      </c>
      <c r="AN89" s="473" t="e">
        <f t="shared" ca="1" si="60"/>
        <v>#NAME?</v>
      </c>
      <c r="AO89" s="473" t="e">
        <f t="shared" ca="1" si="61"/>
        <v>#NAME?</v>
      </c>
      <c r="AP89" s="473" t="e">
        <f t="shared" si="62"/>
        <v>#REF!</v>
      </c>
      <c r="AQ89" s="504" t="e">
        <f t="shared" si="63"/>
        <v>#REF!</v>
      </c>
      <c r="AR89" s="473" t="e">
        <f t="shared" si="64"/>
        <v>#REF!</v>
      </c>
      <c r="AS89" s="474" t="e">
        <f t="shared" si="65"/>
        <v>#REF!</v>
      </c>
      <c r="AT89" s="4" t="e">
        <f t="shared" ca="1" si="66"/>
        <v>#REF!</v>
      </c>
      <c r="AU89" s="2"/>
    </row>
    <row r="90" spans="13:47" x14ac:dyDescent="0.2">
      <c r="N90" s="217" t="s">
        <v>90</v>
      </c>
      <c r="O90" s="217"/>
      <c r="P90">
        <v>502.29</v>
      </c>
      <c r="Q90">
        <v>369.56</v>
      </c>
      <c r="R90">
        <v>402.05</v>
      </c>
      <c r="S90" s="490">
        <f t="shared" si="55"/>
        <v>4452.34</v>
      </c>
      <c r="T90" s="479" t="e">
        <f t="shared" si="56"/>
        <v>#REF!</v>
      </c>
      <c r="U90" s="469" t="e">
        <f>$V$84 + IF($B$2="mil",1,0.0254)*DDR2Specs!$E$9</f>
        <v>#REF!</v>
      </c>
      <c r="V90" s="492" t="e">
        <f>$U$84 + IF($B$2="mil",1,0.0254)*DDR2Specs!$F$9</f>
        <v>#REF!</v>
      </c>
      <c r="W90" s="491" t="e">
        <f t="shared" si="51"/>
        <v>#REF!</v>
      </c>
      <c r="X90" s="492" t="e">
        <f t="shared" si="52"/>
        <v>#REF!</v>
      </c>
      <c r="Y90" s="490">
        <f t="shared" si="57"/>
        <v>4484.83</v>
      </c>
      <c r="Z90" s="479" t="e">
        <f t="shared" si="58"/>
        <v>#REF!</v>
      </c>
      <c r="AA90" s="469" t="e">
        <f>$AB$84 + IF($B$2="mil",1,0.0254)*DDR2Specs!$E$9</f>
        <v>#REF!</v>
      </c>
      <c r="AB90" s="469" t="e">
        <f>$AA$84 + IF($B$2="mil",1,0.0254)*DDR2Specs!$F$9</f>
        <v>#REF!</v>
      </c>
      <c r="AC90" s="491" t="e">
        <f t="shared" si="53"/>
        <v>#REF!</v>
      </c>
      <c r="AD90" s="492" t="e">
        <f t="shared" si="54"/>
        <v>#REF!</v>
      </c>
      <c r="AE90" s="2"/>
      <c r="AF90" s="2"/>
      <c r="AG90" s="2"/>
      <c r="AH90" s="2"/>
      <c r="AI90" s="510" t="s">
        <v>90</v>
      </c>
      <c r="AJ90" s="504" t="e">
        <f t="shared" si="59"/>
        <v>#REF!</v>
      </c>
      <c r="AK90" s="2"/>
      <c r="AL90" s="2"/>
      <c r="AM90" s="505" t="s">
        <v>90</v>
      </c>
      <c r="AN90" s="473" t="e">
        <f t="shared" ca="1" si="60"/>
        <v>#NAME?</v>
      </c>
      <c r="AO90" s="473" t="e">
        <f t="shared" ca="1" si="61"/>
        <v>#NAME?</v>
      </c>
      <c r="AP90" s="473" t="e">
        <f t="shared" si="62"/>
        <v>#REF!</v>
      </c>
      <c r="AQ90" s="504" t="e">
        <f t="shared" si="63"/>
        <v>#REF!</v>
      </c>
      <c r="AR90" s="473" t="e">
        <f t="shared" si="64"/>
        <v>#REF!</v>
      </c>
      <c r="AS90" s="474" t="e">
        <f t="shared" si="65"/>
        <v>#REF!</v>
      </c>
      <c r="AT90" s="4" t="e">
        <f t="shared" ca="1" si="66"/>
        <v>#REF!</v>
      </c>
      <c r="AU90" s="2"/>
    </row>
    <row r="91" spans="13:47" x14ac:dyDescent="0.2">
      <c r="N91" s="217" t="s">
        <v>91</v>
      </c>
      <c r="O91" s="217"/>
      <c r="P91">
        <v>438.87</v>
      </c>
      <c r="Q91">
        <v>136.13</v>
      </c>
      <c r="R91">
        <v>197.23</v>
      </c>
      <c r="S91" s="490">
        <f t="shared" si="55"/>
        <v>4386.7</v>
      </c>
      <c r="T91" s="479" t="e">
        <f t="shared" si="56"/>
        <v>#REF!</v>
      </c>
      <c r="U91" s="469" t="e">
        <f>$V$84 + IF($B$2="mil",1,0.0254)*DDR2Specs!$E$9</f>
        <v>#REF!</v>
      </c>
      <c r="V91" s="492" t="e">
        <f>$U$84 + IF($B$2="mil",1,0.0254)*DDR2Specs!$F$9</f>
        <v>#REF!</v>
      </c>
      <c r="W91" s="491" t="e">
        <f t="shared" si="51"/>
        <v>#REF!</v>
      </c>
      <c r="X91" s="492" t="e">
        <f t="shared" si="52"/>
        <v>#REF!</v>
      </c>
      <c r="Y91" s="490">
        <f t="shared" si="57"/>
        <v>4447.7999999999993</v>
      </c>
      <c r="Z91" s="479" t="e">
        <f t="shared" si="58"/>
        <v>#REF!</v>
      </c>
      <c r="AA91" s="469" t="e">
        <f>$AB$84 + IF($B$2="mil",1,0.0254)*DDR2Specs!$E$9</f>
        <v>#REF!</v>
      </c>
      <c r="AB91" s="469" t="e">
        <f>$AA$84 + IF($B$2="mil",1,0.0254)*DDR2Specs!$F$9</f>
        <v>#REF!</v>
      </c>
      <c r="AC91" s="491" t="e">
        <f t="shared" si="53"/>
        <v>#REF!</v>
      </c>
      <c r="AD91" s="492" t="e">
        <f t="shared" si="54"/>
        <v>#REF!</v>
      </c>
      <c r="AE91" s="2"/>
      <c r="AF91" s="2"/>
      <c r="AG91" s="2"/>
      <c r="AH91" s="2"/>
      <c r="AI91" s="510" t="s">
        <v>91</v>
      </c>
      <c r="AJ91" s="504" t="e">
        <f t="shared" si="59"/>
        <v>#REF!</v>
      </c>
      <c r="AK91" s="2"/>
      <c r="AL91" s="2"/>
      <c r="AM91" s="505" t="s">
        <v>91</v>
      </c>
      <c r="AN91" s="473" t="e">
        <f t="shared" ca="1" si="60"/>
        <v>#NAME?</v>
      </c>
      <c r="AO91" s="473" t="e">
        <f t="shared" ca="1" si="61"/>
        <v>#NAME?</v>
      </c>
      <c r="AP91" s="473" t="e">
        <f t="shared" si="62"/>
        <v>#REF!</v>
      </c>
      <c r="AQ91" s="504" t="e">
        <f t="shared" si="63"/>
        <v>#REF!</v>
      </c>
      <c r="AR91" s="473" t="e">
        <f t="shared" si="64"/>
        <v>#REF!</v>
      </c>
      <c r="AS91" s="474" t="e">
        <f t="shared" si="65"/>
        <v>#REF!</v>
      </c>
      <c r="AT91" s="4" t="e">
        <f t="shared" ca="1" si="66"/>
        <v>#REF!</v>
      </c>
      <c r="AU91" s="2"/>
    </row>
    <row r="92" spans="13:47" x14ac:dyDescent="0.2">
      <c r="N92" s="217" t="s">
        <v>92</v>
      </c>
      <c r="O92" s="217"/>
      <c r="P92">
        <v>590.58000000000004</v>
      </c>
      <c r="Q92">
        <v>135.09</v>
      </c>
      <c r="R92">
        <v>164.7</v>
      </c>
      <c r="S92" s="490">
        <f t="shared" si="55"/>
        <v>4298.1100000000006</v>
      </c>
      <c r="T92" s="479" t="e">
        <f t="shared" si="56"/>
        <v>#REF!</v>
      </c>
      <c r="U92" s="469" t="e">
        <f>$V$84 + IF($B$2="mil",1,0.0254)*DDR2Specs!$E$9</f>
        <v>#REF!</v>
      </c>
      <c r="V92" s="492" t="e">
        <f>$U$84 + IF($B$2="mil",1,0.0254)*DDR2Specs!$F$9</f>
        <v>#REF!</v>
      </c>
      <c r="W92" s="491" t="e">
        <f t="shared" si="51"/>
        <v>#REF!</v>
      </c>
      <c r="X92" s="492" t="e">
        <f t="shared" si="52"/>
        <v>#REF!</v>
      </c>
      <c r="Y92" s="490">
        <f t="shared" si="57"/>
        <v>4327.72</v>
      </c>
      <c r="Z92" s="479" t="e">
        <f t="shared" si="58"/>
        <v>#REF!</v>
      </c>
      <c r="AA92" s="469" t="e">
        <f>$AB$84 + IF($B$2="mil",1,0.0254)*DDR2Specs!$E$9</f>
        <v>#REF!</v>
      </c>
      <c r="AB92" s="469" t="e">
        <f>$AA$84 + IF($B$2="mil",1,0.0254)*DDR2Specs!$F$9</f>
        <v>#REF!</v>
      </c>
      <c r="AC92" s="491" t="e">
        <f t="shared" si="53"/>
        <v>#REF!</v>
      </c>
      <c r="AD92" s="492" t="e">
        <f t="shared" si="54"/>
        <v>#REF!</v>
      </c>
      <c r="AE92" s="2"/>
      <c r="AF92" s="2"/>
      <c r="AG92" s="2"/>
      <c r="AH92" s="2"/>
      <c r="AI92" s="510" t="s">
        <v>92</v>
      </c>
      <c r="AJ92" s="504" t="e">
        <f t="shared" si="59"/>
        <v>#REF!</v>
      </c>
      <c r="AK92" s="2"/>
      <c r="AL92" s="2"/>
      <c r="AM92" s="505" t="s">
        <v>92</v>
      </c>
      <c r="AN92" s="473" t="e">
        <f t="shared" ca="1" si="60"/>
        <v>#NAME?</v>
      </c>
      <c r="AO92" s="473" t="e">
        <f t="shared" ca="1" si="61"/>
        <v>#NAME?</v>
      </c>
      <c r="AP92" s="473" t="e">
        <f t="shared" si="62"/>
        <v>#REF!</v>
      </c>
      <c r="AQ92" s="504" t="e">
        <f t="shared" si="63"/>
        <v>#REF!</v>
      </c>
      <c r="AR92" s="473" t="e">
        <f t="shared" si="64"/>
        <v>#REF!</v>
      </c>
      <c r="AS92" s="474" t="e">
        <f t="shared" si="65"/>
        <v>#REF!</v>
      </c>
      <c r="AT92" s="4" t="e">
        <f t="shared" ca="1" si="66"/>
        <v>#REF!</v>
      </c>
      <c r="AU92" s="2"/>
    </row>
    <row r="93" spans="13:47" x14ac:dyDescent="0.2">
      <c r="N93" s="217" t="s">
        <v>94</v>
      </c>
      <c r="O93" s="217"/>
      <c r="P93">
        <v>530.82000000000005</v>
      </c>
      <c r="Q93">
        <v>256.72000000000003</v>
      </c>
      <c r="R93">
        <v>318.58</v>
      </c>
      <c r="S93" s="490">
        <f t="shared" si="55"/>
        <v>4230.9800000000005</v>
      </c>
      <c r="T93" s="479" t="e">
        <f t="shared" si="56"/>
        <v>#REF!</v>
      </c>
      <c r="U93" s="469" t="e">
        <f>$V$84 + IF($B$2="mil",1,0.0254)*DDR2Specs!$E$9</f>
        <v>#REF!</v>
      </c>
      <c r="V93" s="492" t="e">
        <f>$U$84 + IF($B$2="mil",1,0.0254)*DDR2Specs!$F$9</f>
        <v>#REF!</v>
      </c>
      <c r="W93" s="491" t="e">
        <f t="shared" si="51"/>
        <v>#REF!</v>
      </c>
      <c r="X93" s="492" t="e">
        <f t="shared" si="52"/>
        <v>#REF!</v>
      </c>
      <c r="Y93" s="490">
        <f t="shared" si="57"/>
        <v>4292.84</v>
      </c>
      <c r="Z93" s="479" t="e">
        <f t="shared" si="58"/>
        <v>#REF!</v>
      </c>
      <c r="AA93" s="469" t="e">
        <f>$AB$84 + IF($B$2="mil",1,0.0254)*DDR2Specs!$E$9</f>
        <v>#REF!</v>
      </c>
      <c r="AB93" s="469" t="e">
        <f>$AA$84 + IF($B$2="mil",1,0.0254)*DDR2Specs!$F$9</f>
        <v>#REF!</v>
      </c>
      <c r="AC93" s="491" t="e">
        <f t="shared" si="53"/>
        <v>#REF!</v>
      </c>
      <c r="AD93" s="492" t="e">
        <f t="shared" si="54"/>
        <v>#REF!</v>
      </c>
      <c r="AE93" s="2"/>
      <c r="AF93" s="2"/>
      <c r="AG93" s="2"/>
      <c r="AH93" s="2"/>
      <c r="AI93" s="510" t="s">
        <v>94</v>
      </c>
      <c r="AJ93" s="504" t="e">
        <f t="shared" si="59"/>
        <v>#REF!</v>
      </c>
      <c r="AK93" s="2"/>
      <c r="AL93" s="2"/>
      <c r="AM93" s="505" t="s">
        <v>94</v>
      </c>
      <c r="AN93" s="473" t="e">
        <f t="shared" ca="1" si="60"/>
        <v>#NAME?</v>
      </c>
      <c r="AO93" s="473" t="e">
        <f t="shared" ca="1" si="61"/>
        <v>#NAME?</v>
      </c>
      <c r="AP93" s="473" t="e">
        <f t="shared" si="62"/>
        <v>#REF!</v>
      </c>
      <c r="AQ93" s="504" t="e">
        <f t="shared" si="63"/>
        <v>#REF!</v>
      </c>
      <c r="AR93" s="473" t="e">
        <f t="shared" si="64"/>
        <v>#REF!</v>
      </c>
      <c r="AS93" s="474" t="e">
        <f t="shared" si="65"/>
        <v>#REF!</v>
      </c>
      <c r="AT93" s="4" t="e">
        <f t="shared" ca="1" si="66"/>
        <v>#REF!</v>
      </c>
      <c r="AU93" s="2"/>
    </row>
    <row r="94" spans="13:47" x14ac:dyDescent="0.2">
      <c r="N94" s="217" t="s">
        <v>95</v>
      </c>
      <c r="O94" s="217"/>
      <c r="P94">
        <v>513.70000000000005</v>
      </c>
      <c r="Q94">
        <v>255.28</v>
      </c>
      <c r="R94">
        <v>284.73</v>
      </c>
      <c r="S94" s="490">
        <f t="shared" si="55"/>
        <v>4209.8399999999992</v>
      </c>
      <c r="T94" s="479" t="e">
        <f t="shared" si="56"/>
        <v>#REF!</v>
      </c>
      <c r="U94" s="469" t="e">
        <f>$V$84 + IF($B$2="mil",1,0.0254)*DDR2Specs!$E$9</f>
        <v>#REF!</v>
      </c>
      <c r="V94" s="492" t="e">
        <f>$U$84 + IF($B$2="mil",1,0.0254)*DDR2Specs!$F$9</f>
        <v>#REF!</v>
      </c>
      <c r="W94" s="491" t="e">
        <f t="shared" si="51"/>
        <v>#REF!</v>
      </c>
      <c r="X94" s="492" t="e">
        <f t="shared" si="52"/>
        <v>#REF!</v>
      </c>
      <c r="Y94" s="490">
        <f t="shared" si="57"/>
        <v>4239.2899999999991</v>
      </c>
      <c r="Z94" s="479" t="e">
        <f t="shared" si="58"/>
        <v>#REF!</v>
      </c>
      <c r="AA94" s="469" t="e">
        <f>$AB$84 + IF($B$2="mil",1,0.0254)*DDR2Specs!$E$9</f>
        <v>#REF!</v>
      </c>
      <c r="AB94" s="469" t="e">
        <f>$AA$84 + IF($B$2="mil",1,0.0254)*DDR2Specs!$F$9</f>
        <v>#REF!</v>
      </c>
      <c r="AC94" s="491" t="e">
        <f t="shared" si="53"/>
        <v>#REF!</v>
      </c>
      <c r="AD94" s="492" t="e">
        <f t="shared" si="54"/>
        <v>#REF!</v>
      </c>
      <c r="AE94" s="2"/>
      <c r="AF94" s="2"/>
      <c r="AG94" s="2"/>
      <c r="AH94" s="2"/>
      <c r="AI94" s="510" t="s">
        <v>95</v>
      </c>
      <c r="AJ94" s="504" t="e">
        <f t="shared" si="59"/>
        <v>#REF!</v>
      </c>
      <c r="AK94" s="2"/>
      <c r="AL94" s="2"/>
      <c r="AM94" s="505" t="s">
        <v>95</v>
      </c>
      <c r="AN94" s="473" t="e">
        <f t="shared" ca="1" si="60"/>
        <v>#NAME?</v>
      </c>
      <c r="AO94" s="473" t="e">
        <f t="shared" ca="1" si="61"/>
        <v>#NAME?</v>
      </c>
      <c r="AP94" s="473" t="e">
        <f t="shared" si="62"/>
        <v>#REF!</v>
      </c>
      <c r="AQ94" s="504" t="e">
        <f t="shared" si="63"/>
        <v>#REF!</v>
      </c>
      <c r="AR94" s="473" t="e">
        <f t="shared" si="64"/>
        <v>#REF!</v>
      </c>
      <c r="AS94" s="474" t="e">
        <f t="shared" si="65"/>
        <v>#REF!</v>
      </c>
      <c r="AT94" s="4" t="e">
        <f t="shared" ca="1" si="66"/>
        <v>#REF!</v>
      </c>
      <c r="AU94" s="2"/>
    </row>
    <row r="95" spans="13:47" x14ac:dyDescent="0.2">
      <c r="N95" s="217" t="s">
        <v>96</v>
      </c>
      <c r="O95" s="217"/>
      <c r="P95">
        <v>520.42999999999995</v>
      </c>
      <c r="Q95">
        <v>159.25</v>
      </c>
      <c r="R95">
        <v>221.46</v>
      </c>
      <c r="S95" s="490">
        <f t="shared" si="55"/>
        <v>4259.13</v>
      </c>
      <c r="T95" s="479" t="e">
        <f t="shared" si="56"/>
        <v>#REF!</v>
      </c>
      <c r="U95" s="469" t="e">
        <f>$V$84 + IF($B$2="mil",1,0.0254)*DDR2Specs!$E$9</f>
        <v>#REF!</v>
      </c>
      <c r="V95" s="492" t="e">
        <f>$U$84 + IF($B$2="mil",1,0.0254)*DDR2Specs!$F$9</f>
        <v>#REF!</v>
      </c>
      <c r="W95" s="491" t="e">
        <f t="shared" si="51"/>
        <v>#REF!</v>
      </c>
      <c r="X95" s="492" t="e">
        <f t="shared" si="52"/>
        <v>#REF!</v>
      </c>
      <c r="Y95" s="490">
        <f t="shared" si="57"/>
        <v>4321.34</v>
      </c>
      <c r="Z95" s="479" t="e">
        <f t="shared" si="58"/>
        <v>#REF!</v>
      </c>
      <c r="AA95" s="469" t="e">
        <f>$AB$84 + IF($B$2="mil",1,0.0254)*DDR2Specs!$E$9</f>
        <v>#REF!</v>
      </c>
      <c r="AB95" s="469" t="e">
        <f>$AA$84 + IF($B$2="mil",1,0.0254)*DDR2Specs!$F$9</f>
        <v>#REF!</v>
      </c>
      <c r="AC95" s="491" t="e">
        <f t="shared" si="53"/>
        <v>#REF!</v>
      </c>
      <c r="AD95" s="492" t="e">
        <f t="shared" si="54"/>
        <v>#REF!</v>
      </c>
      <c r="AE95" s="2"/>
      <c r="AF95" s="2"/>
      <c r="AG95" s="2"/>
      <c r="AH95" s="2"/>
      <c r="AI95" s="510" t="s">
        <v>96</v>
      </c>
      <c r="AJ95" s="504" t="e">
        <f t="shared" si="59"/>
        <v>#REF!</v>
      </c>
      <c r="AK95" s="2"/>
      <c r="AL95" s="2"/>
      <c r="AM95" s="505" t="s">
        <v>96</v>
      </c>
      <c r="AN95" s="473" t="e">
        <f t="shared" ca="1" si="60"/>
        <v>#NAME?</v>
      </c>
      <c r="AO95" s="473" t="e">
        <f t="shared" ca="1" si="61"/>
        <v>#NAME?</v>
      </c>
      <c r="AP95" s="473" t="e">
        <f t="shared" si="62"/>
        <v>#REF!</v>
      </c>
      <c r="AQ95" s="504" t="e">
        <f t="shared" si="63"/>
        <v>#REF!</v>
      </c>
      <c r="AR95" s="473" t="e">
        <f t="shared" si="64"/>
        <v>#REF!</v>
      </c>
      <c r="AS95" s="474" t="e">
        <f t="shared" si="65"/>
        <v>#REF!</v>
      </c>
      <c r="AT95" s="4" t="e">
        <f t="shared" ca="1" si="66"/>
        <v>#REF!</v>
      </c>
      <c r="AU95" s="2"/>
    </row>
    <row r="96" spans="13:47" x14ac:dyDescent="0.2">
      <c r="N96" s="217" t="s">
        <v>98</v>
      </c>
      <c r="O96" s="217"/>
      <c r="P96">
        <v>493.32</v>
      </c>
      <c r="Q96">
        <v>151.81</v>
      </c>
      <c r="R96">
        <v>210.59</v>
      </c>
      <c r="S96" s="490">
        <f t="shared" si="55"/>
        <v>4378.38</v>
      </c>
      <c r="T96" s="479" t="e">
        <f t="shared" si="56"/>
        <v>#REF!</v>
      </c>
      <c r="U96" s="469" t="e">
        <f>$V$84 + IF($B$2="mil",1,0.0254)*DDR2Specs!$E$9</f>
        <v>#REF!</v>
      </c>
      <c r="V96" s="492" t="e">
        <f>$U$84 + IF($B$2="mil",1,0.0254)*DDR2Specs!$F$9</f>
        <v>#REF!</v>
      </c>
      <c r="W96" s="491" t="e">
        <f t="shared" si="51"/>
        <v>#REF!</v>
      </c>
      <c r="X96" s="492" t="e">
        <f t="shared" si="52"/>
        <v>#REF!</v>
      </c>
      <c r="Y96" s="490">
        <f t="shared" si="57"/>
        <v>4437.16</v>
      </c>
      <c r="Z96" s="479" t="e">
        <f t="shared" si="58"/>
        <v>#REF!</v>
      </c>
      <c r="AA96" s="469" t="e">
        <f>$AB$84 + IF($B$2="mil",1,0.0254)*DDR2Specs!$E$9</f>
        <v>#REF!</v>
      </c>
      <c r="AB96" s="469" t="e">
        <f>$AA$84 + IF($B$2="mil",1,0.0254)*DDR2Specs!$F$9</f>
        <v>#REF!</v>
      </c>
      <c r="AC96" s="491" t="e">
        <f t="shared" si="53"/>
        <v>#REF!</v>
      </c>
      <c r="AD96" s="492" t="e">
        <f t="shared" si="54"/>
        <v>#REF!</v>
      </c>
      <c r="AE96" s="2"/>
      <c r="AF96" s="2"/>
      <c r="AG96" s="2"/>
      <c r="AH96" s="2"/>
      <c r="AI96" s="510" t="s">
        <v>98</v>
      </c>
      <c r="AJ96" s="504" t="e">
        <f t="shared" si="59"/>
        <v>#REF!</v>
      </c>
      <c r="AK96" s="2"/>
      <c r="AL96" s="2"/>
      <c r="AM96" s="505" t="s">
        <v>98</v>
      </c>
      <c r="AN96" s="473" t="e">
        <f t="shared" ca="1" si="60"/>
        <v>#NAME?</v>
      </c>
      <c r="AO96" s="473" t="e">
        <f t="shared" ca="1" si="61"/>
        <v>#NAME?</v>
      </c>
      <c r="AP96" s="473" t="e">
        <f t="shared" si="62"/>
        <v>#REF!</v>
      </c>
      <c r="AQ96" s="504" t="e">
        <f t="shared" si="63"/>
        <v>#REF!</v>
      </c>
      <c r="AR96" s="473" t="e">
        <f t="shared" si="64"/>
        <v>#REF!</v>
      </c>
      <c r="AS96" s="474" t="e">
        <f t="shared" si="65"/>
        <v>#REF!</v>
      </c>
      <c r="AT96" s="4" t="e">
        <f t="shared" ca="1" si="66"/>
        <v>#REF!</v>
      </c>
      <c r="AU96" s="2"/>
    </row>
    <row r="97" spans="5:47" x14ac:dyDescent="0.2">
      <c r="N97" s="217" t="s">
        <v>99</v>
      </c>
      <c r="O97" s="217"/>
      <c r="P97">
        <v>570.98</v>
      </c>
      <c r="Q97">
        <v>157.78</v>
      </c>
      <c r="R97">
        <v>181.24</v>
      </c>
      <c r="S97" s="490">
        <f t="shared" si="55"/>
        <v>4189.24</v>
      </c>
      <c r="T97" s="479" t="e">
        <f t="shared" si="56"/>
        <v>#REF!</v>
      </c>
      <c r="U97" s="469" t="e">
        <f>$V$84 + IF($B$2="mil",1,0.0254)*DDR2Specs!$E$9</f>
        <v>#REF!</v>
      </c>
      <c r="V97" s="492" t="e">
        <f>$U$84 + IF($B$2="mil",1,0.0254)*DDR2Specs!$F$9</f>
        <v>#REF!</v>
      </c>
      <c r="W97" s="491" t="e">
        <f t="shared" si="51"/>
        <v>#REF!</v>
      </c>
      <c r="X97" s="492" t="e">
        <f t="shared" si="52"/>
        <v>#REF!</v>
      </c>
      <c r="Y97" s="490">
        <f t="shared" si="57"/>
        <v>4212.7</v>
      </c>
      <c r="Z97" s="479" t="e">
        <f t="shared" si="58"/>
        <v>#REF!</v>
      </c>
      <c r="AA97" s="469" t="e">
        <f>$AB$84 + IF($B$2="mil",1,0.0254)*DDR2Specs!$E$9</f>
        <v>#REF!</v>
      </c>
      <c r="AB97" s="469" t="e">
        <f>$AA$84 + IF($B$2="mil",1,0.0254)*DDR2Specs!$F$9</f>
        <v>#REF!</v>
      </c>
      <c r="AC97" s="491" t="e">
        <f t="shared" si="53"/>
        <v>#REF!</v>
      </c>
      <c r="AD97" s="492" t="e">
        <f t="shared" si="54"/>
        <v>#REF!</v>
      </c>
      <c r="AE97" s="2"/>
      <c r="AF97" s="2"/>
      <c r="AG97" s="2"/>
      <c r="AH97" s="2"/>
      <c r="AI97" s="510" t="s">
        <v>99</v>
      </c>
      <c r="AJ97" s="504" t="e">
        <f t="shared" si="59"/>
        <v>#REF!</v>
      </c>
      <c r="AK97" s="2"/>
      <c r="AL97" s="2"/>
      <c r="AM97" s="505" t="s">
        <v>99</v>
      </c>
      <c r="AN97" s="473" t="e">
        <f t="shared" ca="1" si="60"/>
        <v>#NAME?</v>
      </c>
      <c r="AO97" s="473" t="e">
        <f t="shared" ca="1" si="61"/>
        <v>#NAME?</v>
      </c>
      <c r="AP97" s="473" t="e">
        <f t="shared" si="62"/>
        <v>#REF!</v>
      </c>
      <c r="AQ97" s="504" t="e">
        <f t="shared" si="63"/>
        <v>#REF!</v>
      </c>
      <c r="AR97" s="473" t="e">
        <f t="shared" si="64"/>
        <v>#REF!</v>
      </c>
      <c r="AS97" s="474" t="e">
        <f t="shared" si="65"/>
        <v>#REF!</v>
      </c>
      <c r="AT97" s="4" t="e">
        <f t="shared" ca="1" si="66"/>
        <v>#REF!</v>
      </c>
      <c r="AU97" s="2"/>
    </row>
    <row r="98" spans="5:47" x14ac:dyDescent="0.2">
      <c r="N98" s="217" t="s">
        <v>100</v>
      </c>
      <c r="O98" s="217"/>
      <c r="P98">
        <v>614.04999999999995</v>
      </c>
      <c r="Q98">
        <v>170.19</v>
      </c>
      <c r="R98">
        <v>237.25</v>
      </c>
      <c r="S98" s="490">
        <f t="shared" si="55"/>
        <v>4599.99</v>
      </c>
      <c r="T98" s="479" t="e">
        <f t="shared" si="56"/>
        <v>#REF!</v>
      </c>
      <c r="U98" s="469" t="e">
        <f>$V$84 + IF($B$2="mil",1,0.0254)*DDR2Specs!$E$9</f>
        <v>#REF!</v>
      </c>
      <c r="V98" s="492" t="e">
        <f>$U$84 + IF($B$2="mil",1,0.0254)*DDR2Specs!$F$9</f>
        <v>#REF!</v>
      </c>
      <c r="W98" s="491" t="e">
        <f t="shared" si="51"/>
        <v>#REF!</v>
      </c>
      <c r="X98" s="492" t="e">
        <f t="shared" si="52"/>
        <v>#REF!</v>
      </c>
      <c r="Y98" s="490">
        <f t="shared" si="57"/>
        <v>4667.05</v>
      </c>
      <c r="Z98" s="479" t="e">
        <f t="shared" si="58"/>
        <v>#REF!</v>
      </c>
      <c r="AA98" s="469" t="e">
        <f>$AB$84 + IF($B$2="mil",1,0.0254)*DDR2Specs!$E$9</f>
        <v>#REF!</v>
      </c>
      <c r="AB98" s="469" t="e">
        <f>$AA$84 + IF($B$2="mil",1,0.0254)*DDR2Specs!$F$9</f>
        <v>#REF!</v>
      </c>
      <c r="AC98" s="491" t="e">
        <f t="shared" si="53"/>
        <v>#REF!</v>
      </c>
      <c r="AD98" s="492" t="e">
        <f t="shared" si="54"/>
        <v>#REF!</v>
      </c>
      <c r="AE98" s="2"/>
      <c r="AF98" s="2"/>
      <c r="AG98" s="2"/>
      <c r="AH98" s="2"/>
      <c r="AI98" s="510" t="s">
        <v>100</v>
      </c>
      <c r="AJ98" s="504" t="e">
        <f t="shared" si="59"/>
        <v>#REF!</v>
      </c>
      <c r="AK98" s="2"/>
      <c r="AL98" s="2"/>
      <c r="AM98" s="505" t="s">
        <v>100</v>
      </c>
      <c r="AN98" s="473" t="e">
        <f t="shared" ca="1" si="60"/>
        <v>#NAME?</v>
      </c>
      <c r="AO98" s="473" t="e">
        <f t="shared" ca="1" si="61"/>
        <v>#NAME?</v>
      </c>
      <c r="AP98" s="473" t="e">
        <f t="shared" si="62"/>
        <v>#REF!</v>
      </c>
      <c r="AQ98" s="504" t="e">
        <f t="shared" si="63"/>
        <v>#REF!</v>
      </c>
      <c r="AR98" s="473" t="e">
        <f t="shared" si="64"/>
        <v>#REF!</v>
      </c>
      <c r="AS98" s="474" t="e">
        <f t="shared" si="65"/>
        <v>#REF!</v>
      </c>
      <c r="AT98" s="4" t="e">
        <f t="shared" ca="1" si="66"/>
        <v>#REF!</v>
      </c>
      <c r="AU98" s="2"/>
    </row>
    <row r="99" spans="5:47" ht="15.75" x14ac:dyDescent="0.25">
      <c r="E99" s="372"/>
      <c r="N99" s="217" t="s">
        <v>101</v>
      </c>
      <c r="O99" s="217"/>
      <c r="P99">
        <v>505.62</v>
      </c>
      <c r="Q99">
        <v>169.13</v>
      </c>
      <c r="R99">
        <v>198.17</v>
      </c>
      <c r="S99" s="490">
        <f>SUM($E47:$G47,$M47,$P99,$Q99)</f>
        <v>4276.5200000000004</v>
      </c>
      <c r="T99" s="479" t="e">
        <f t="shared" si="56"/>
        <v>#REF!</v>
      </c>
      <c r="U99" s="469" t="e">
        <f>$V$84 + IF($B$2="mil",1,0.0254)*DDR2Specs!$E$9</f>
        <v>#REF!</v>
      </c>
      <c r="V99" s="492" t="e">
        <f>$U$84 + IF($B$2="mil",1,0.0254)*DDR2Specs!$F$9</f>
        <v>#REF!</v>
      </c>
      <c r="W99" s="491" t="e">
        <f t="shared" si="51"/>
        <v>#REF!</v>
      </c>
      <c r="X99" s="492" t="e">
        <f t="shared" si="52"/>
        <v>#REF!</v>
      </c>
      <c r="Y99" s="490">
        <f t="shared" si="57"/>
        <v>4305.5600000000004</v>
      </c>
      <c r="Z99" s="479" t="e">
        <f t="shared" si="58"/>
        <v>#REF!</v>
      </c>
      <c r="AA99" s="469" t="e">
        <f>$AB$84 + IF($B$2="mil",1,0.0254)*DDR2Specs!$E$9</f>
        <v>#REF!</v>
      </c>
      <c r="AB99" s="469" t="e">
        <f>$AA$84 + IF($B$2="mil",1,0.0254)*DDR2Specs!$F$9</f>
        <v>#REF!</v>
      </c>
      <c r="AC99" s="491" t="e">
        <f t="shared" si="53"/>
        <v>#REF!</v>
      </c>
      <c r="AD99" s="492" t="e">
        <f t="shared" si="54"/>
        <v>#REF!</v>
      </c>
      <c r="AE99" s="2"/>
      <c r="AF99" s="2"/>
      <c r="AG99" s="2"/>
      <c r="AH99" s="2"/>
      <c r="AI99" s="510" t="s">
        <v>101</v>
      </c>
      <c r="AJ99" s="504" t="e">
        <f t="shared" si="59"/>
        <v>#REF!</v>
      </c>
      <c r="AK99" s="2"/>
      <c r="AL99" s="2"/>
      <c r="AM99" s="505" t="s">
        <v>101</v>
      </c>
      <c r="AN99" s="473" t="e">
        <f t="shared" ca="1" si="60"/>
        <v>#NAME?</v>
      </c>
      <c r="AO99" s="473" t="e">
        <f t="shared" ca="1" si="61"/>
        <v>#NAME?</v>
      </c>
      <c r="AP99" s="473" t="e">
        <f t="shared" si="62"/>
        <v>#REF!</v>
      </c>
      <c r="AQ99" s="504" t="e">
        <f t="shared" si="63"/>
        <v>#REF!</v>
      </c>
      <c r="AR99" s="473" t="e">
        <f t="shared" si="64"/>
        <v>#REF!</v>
      </c>
      <c r="AS99" s="474" t="e">
        <f t="shared" si="65"/>
        <v>#REF!</v>
      </c>
      <c r="AT99" s="4" t="e">
        <f t="shared" ca="1" si="66"/>
        <v>#REF!</v>
      </c>
      <c r="AU99" s="2"/>
    </row>
    <row r="100" spans="5:47" x14ac:dyDescent="0.2">
      <c r="N100" s="180" t="s">
        <v>278</v>
      </c>
      <c r="O100" s="180"/>
      <c r="P100" s="298"/>
      <c r="Q100" s="291"/>
      <c r="R100" s="291"/>
      <c r="S100" s="182"/>
      <c r="T100" s="182"/>
      <c r="U100" s="182"/>
      <c r="V100" s="515"/>
      <c r="W100" s="385"/>
      <c r="X100" s="385"/>
      <c r="Y100" s="182"/>
      <c r="Z100" s="182"/>
      <c r="AA100" s="182"/>
      <c r="AB100" s="182"/>
      <c r="AC100" s="385"/>
      <c r="AD100" s="385"/>
      <c r="AE100" s="2"/>
      <c r="AF100" s="2"/>
      <c r="AG100" s="2"/>
      <c r="AH100" s="2"/>
      <c r="AI100" s="134" t="s">
        <v>278</v>
      </c>
      <c r="AJ100" s="244"/>
      <c r="AK100" s="2"/>
      <c r="AL100" s="2"/>
      <c r="AM100" s="134" t="s">
        <v>278</v>
      </c>
      <c r="AN100" s="155"/>
      <c r="AO100" s="155"/>
      <c r="AP100" s="155"/>
      <c r="AQ100" s="506"/>
      <c r="AR100" s="155"/>
      <c r="AS100" s="506"/>
      <c r="AT100" s="2"/>
      <c r="AU100" s="2"/>
    </row>
    <row r="101" spans="5:47" x14ac:dyDescent="0.2">
      <c r="N101" s="162" t="s">
        <v>102</v>
      </c>
      <c r="O101" s="162"/>
      <c r="P101">
        <v>501.06</v>
      </c>
      <c r="Q101" s="551">
        <v>98.68</v>
      </c>
      <c r="R101" s="551">
        <v>147.49</v>
      </c>
      <c r="S101" s="490">
        <f>SUM($E49:$G49,$M49,$P101,$Q101)</f>
        <v>4304.0400000000009</v>
      </c>
      <c r="T101" s="479" t="e">
        <f t="shared" si="56"/>
        <v>#REF!</v>
      </c>
      <c r="U101" s="469" t="e">
        <f>$V$84 + IF($B$2="mil",1,0.0254)*DDR2Specs!$E$9</f>
        <v>#REF!</v>
      </c>
      <c r="V101" s="492" t="e">
        <f>$U$84 + IF($B$2="mil",1,0.0254)*DDR2Specs!$F$9</f>
        <v>#REF!</v>
      </c>
      <c r="W101" s="491" t="e">
        <f>IF($T101&lt;$U101,$U101-$T101,"Pass")</f>
        <v>#REF!</v>
      </c>
      <c r="X101" s="492" t="e">
        <f>IF($T101&gt;$V101,$T101-$V101,"Pass")</f>
        <v>#REF!</v>
      </c>
      <c r="Y101" s="490">
        <f t="shared" si="57"/>
        <v>4352.8500000000004</v>
      </c>
      <c r="Z101" s="479" t="e">
        <f t="shared" si="58"/>
        <v>#REF!</v>
      </c>
      <c r="AA101" s="469" t="e">
        <f>$AB$84 + IF($B$2="mil",1,0.0254)*DDR2Specs!$E$9</f>
        <v>#REF!</v>
      </c>
      <c r="AB101" s="469" t="e">
        <f>$AA$84 + IF($B$2="mil",1,0.0254)*DDR2Specs!$F$9</f>
        <v>#REF!</v>
      </c>
      <c r="AC101" s="491" t="e">
        <f>IF($Z101&lt;$AA101,$AA101-$Z101,"Pass")</f>
        <v>#REF!</v>
      </c>
      <c r="AD101" s="492" t="e">
        <f>IF($Z101&gt;$AB101,$Z101-$AB101,"Pass")</f>
        <v>#REF!</v>
      </c>
      <c r="AE101" s="2"/>
      <c r="AF101" s="2"/>
      <c r="AG101" s="2"/>
      <c r="AH101" s="2"/>
      <c r="AI101" s="509" t="s">
        <v>102</v>
      </c>
      <c r="AJ101" s="504" t="e">
        <f>IF(P101&lt;=IF($B$2="mil",1,0.0254)*1000,"Pass",IF($B$2="mil",1,0.0254)*1000-P101)</f>
        <v>#REF!</v>
      </c>
      <c r="AK101" s="2"/>
      <c r="AL101" s="2"/>
      <c r="AM101" s="503" t="s">
        <v>102</v>
      </c>
      <c r="AN101" s="473" t="e">
        <f ca="1">CheckLength2(IF($B$2="mil",1,0.0254)*1200,P101,Q101,0)</f>
        <v>#NAME?</v>
      </c>
      <c r="AO101" s="473" t="e">
        <f ca="1">CheckLength2(IF($B$2="mil",1,0.0254)*1200,P101,R101,0)</f>
        <v>#NAME?</v>
      </c>
      <c r="AP101" s="473" t="e">
        <f>IF(AND(S101&gt;=IF($B$2="mil",1,0.0254)*500, $S101&lt;=IF($B$2="mil",1,0.0254)*6500),"Pass",IF($B$2="mil",1,0.0254)*6500-$S101)</f>
        <v>#REF!</v>
      </c>
      <c r="AQ101" s="504" t="e">
        <f>IF(AND($T101&gt;=IF($B$2="mil",1,0.0254)*500, $T101&lt;=IF($B$2="mil",1,0.0254)*7000),"Pass",IF($B$2="mil",1,0.0254)*7000-$T101)</f>
        <v>#REF!</v>
      </c>
      <c r="AR101" s="473" t="e">
        <f>IF(AND($Y101&gt;=IF($B$2="mil",1,0.0254)*500, $Y101&lt;=IF($B$2="mil",1,0.0254)*6500),"Pass",IF($B$2="mil",1,0.0254)*6500-$Y101)</f>
        <v>#REF!</v>
      </c>
      <c r="AS101" s="474" t="e">
        <f>IF(AND($Z101&gt;=IF($B$2="mil",1,0.0254)*500, $Z101&lt;=IF($B$2="mil",1,0.0254)*7000),"Pass",IF($B$2="mil",1,0.0254)*7000-$Z101)</f>
        <v>#REF!</v>
      </c>
      <c r="AT101" s="4" t="e">
        <f t="shared" ca="1" si="66"/>
        <v>#REF!</v>
      </c>
      <c r="AU101" s="2"/>
    </row>
    <row r="102" spans="5:47" x14ac:dyDescent="0.2">
      <c r="N102" s="216" t="s">
        <v>103</v>
      </c>
      <c r="O102" s="216"/>
      <c r="P102">
        <v>472.14</v>
      </c>
      <c r="Q102" s="551">
        <v>70.63</v>
      </c>
      <c r="R102" s="551">
        <v>143.30000000000001</v>
      </c>
      <c r="S102" s="490">
        <f>SUM($E50:$G50,$M50,$P102,$Q102)</f>
        <v>4384.09</v>
      </c>
      <c r="T102" s="479" t="e">
        <f t="shared" si="56"/>
        <v>#REF!</v>
      </c>
      <c r="U102" s="469" t="e">
        <f>$V$84 + IF($B$2="mil",1,0.0254)*DDR2Specs!$E$9</f>
        <v>#REF!</v>
      </c>
      <c r="V102" s="492" t="e">
        <f>$U$84 + IF($B$2="mil",1,0.0254)*DDR2Specs!$F$9</f>
        <v>#REF!</v>
      </c>
      <c r="W102" s="491" t="e">
        <f>IF($T102&lt;$U102,$U102-$T102,"Pass")</f>
        <v>#REF!</v>
      </c>
      <c r="X102" s="492" t="e">
        <f>IF($T102&gt;$V102,$T102-$V102,"Pass")</f>
        <v>#REF!</v>
      </c>
      <c r="Y102" s="490">
        <f t="shared" si="57"/>
        <v>4456.76</v>
      </c>
      <c r="Z102" s="479" t="e">
        <f t="shared" si="58"/>
        <v>#REF!</v>
      </c>
      <c r="AA102" s="469" t="e">
        <f>$AB$84 + IF($B$2="mil",1,0.0254)*DDR2Specs!$E$9</f>
        <v>#REF!</v>
      </c>
      <c r="AB102" s="469" t="e">
        <f>$AA$84 + IF($B$2="mil",1,0.0254)*DDR2Specs!$F$9</f>
        <v>#REF!</v>
      </c>
      <c r="AC102" s="491" t="e">
        <f>IF($Z102&lt;$AA102,$AA102-$Z102,"Pass")</f>
        <v>#REF!</v>
      </c>
      <c r="AD102" s="492" t="e">
        <f>IF($Z102&gt;$AB102,$Z102-$AB102,"Pass")</f>
        <v>#REF!</v>
      </c>
      <c r="AE102" s="2"/>
      <c r="AF102" s="2"/>
      <c r="AG102" s="2"/>
      <c r="AH102" s="2"/>
      <c r="AI102" s="511" t="s">
        <v>103</v>
      </c>
      <c r="AJ102" s="504" t="e">
        <f>IF(P102&lt;=IF($B$2="mil",1,0.0254)*1000,"Pass",IF($B$2="mil",1,0.0254)*1000-P102)</f>
        <v>#REF!</v>
      </c>
      <c r="AK102" s="2"/>
      <c r="AL102" s="2"/>
      <c r="AM102" s="507" t="s">
        <v>103</v>
      </c>
      <c r="AN102" s="473" t="e">
        <f ca="1">CheckLength2(IF($B$2="mil",1,0.0254)*1200,P102,Q102,0)</f>
        <v>#NAME?</v>
      </c>
      <c r="AO102" s="473" t="e">
        <f ca="1">CheckLength2(IF($B$2="mil",1,0.0254)*1200,P102,R102,0)</f>
        <v>#NAME?</v>
      </c>
      <c r="AP102" s="473" t="e">
        <f>IF(AND(S102&gt;=IF($B$2="mil",1,0.0254)*500, $S102&lt;=IF($B$2="mil",1,0.0254)*6500),"Pass",IF($B$2="mil",1,0.0254)*6500-$S102)</f>
        <v>#REF!</v>
      </c>
      <c r="AQ102" s="504" t="e">
        <f>IF(AND($T102&gt;=IF($B$2="mil",1,0.0254)*500, $T102&lt;=IF($B$2="mil",1,0.0254)*7000),"Pass",IF($B$2="mil",1,0.0254)*7000-$T102)</f>
        <v>#REF!</v>
      </c>
      <c r="AR102" s="473" t="e">
        <f>IF(AND($Y102&gt;=IF($B$2="mil",1,0.0254)*500, $Y102&lt;=IF($B$2="mil",1,0.0254)*6500),"Pass",IF($B$2="mil",1,0.0254)*6500-$Y102)</f>
        <v>#REF!</v>
      </c>
      <c r="AS102" s="474" t="e">
        <f>IF(AND($Z102&gt;=IF($B$2="mil",1,0.0254)*500, $Z102&lt;=IF($B$2="mil",1,0.0254)*7000),"Pass",IF($B$2="mil",1,0.0254)*7000-$Z102)</f>
        <v>#REF!</v>
      </c>
      <c r="AT102" s="4" t="e">
        <f t="shared" ca="1" si="66"/>
        <v>#REF!</v>
      </c>
      <c r="AU102" s="2"/>
    </row>
    <row r="103" spans="5:47" x14ac:dyDescent="0.2">
      <c r="N103" s="216" t="s">
        <v>104</v>
      </c>
      <c r="O103" s="216"/>
      <c r="P103">
        <v>637.47</v>
      </c>
      <c r="Q103" s="551">
        <v>153.83000000000001</v>
      </c>
      <c r="R103" s="551">
        <v>185.75</v>
      </c>
      <c r="S103" s="490">
        <f>SUM($E51:$G51,$M51,$P103,$Q103)</f>
        <v>4503.5</v>
      </c>
      <c r="T103" s="479" t="e">
        <f t="shared" si="56"/>
        <v>#REF!</v>
      </c>
      <c r="U103" s="469" t="e">
        <f>$V$84 + IF($B$2="mil",1,0.0254)*DDR2Specs!$E$9</f>
        <v>#REF!</v>
      </c>
      <c r="V103" s="492" t="e">
        <f>$U$84 + IF($B$2="mil",1,0.0254)*DDR2Specs!$F$9</f>
        <v>#REF!</v>
      </c>
      <c r="W103" s="491" t="e">
        <f>IF($T103&lt;$U103,$U103-$T103,"Pass")</f>
        <v>#REF!</v>
      </c>
      <c r="X103" s="492" t="e">
        <f>IF($T103&gt;$V103,$T103-$V103,"Pass")</f>
        <v>#REF!</v>
      </c>
      <c r="Y103" s="490">
        <f t="shared" si="57"/>
        <v>4535.42</v>
      </c>
      <c r="Z103" s="479" t="e">
        <f t="shared" si="58"/>
        <v>#REF!</v>
      </c>
      <c r="AA103" s="469" t="e">
        <f>$AB$84 + IF($B$2="mil",1,0.0254)*DDR2Specs!$E$9</f>
        <v>#REF!</v>
      </c>
      <c r="AB103" s="469" t="e">
        <f>$AA$84 + IF($B$2="mil",1,0.0254)*DDR2Specs!$F$9</f>
        <v>#REF!</v>
      </c>
      <c r="AC103" s="491" t="e">
        <f>IF($Z103&lt;$AA103,$AA103-$Z103,"Pass")</f>
        <v>#REF!</v>
      </c>
      <c r="AD103" s="492" t="e">
        <f>IF($Z103&gt;$AB103,$Z103-$AB103,"Pass")</f>
        <v>#REF!</v>
      </c>
      <c r="AE103" s="2"/>
      <c r="AF103" s="2"/>
      <c r="AG103" s="2"/>
      <c r="AH103" s="2"/>
      <c r="AI103" s="511" t="s">
        <v>104</v>
      </c>
      <c r="AJ103" s="504" t="e">
        <f>IF(P103&lt;=IF($B$2="mil",1,0.0254)*1000,"Pass",IF($B$2="mil",1,0.0254)*1000-P103)</f>
        <v>#REF!</v>
      </c>
      <c r="AK103" s="2"/>
      <c r="AL103" s="2"/>
      <c r="AM103" s="507" t="s">
        <v>104</v>
      </c>
      <c r="AN103" s="473" t="e">
        <f ca="1">CheckLength2(IF($B$2="mil",1,0.0254)*1200,P103,Q103,0)</f>
        <v>#NAME?</v>
      </c>
      <c r="AO103" s="473" t="e">
        <f ca="1">CheckLength2(IF($B$2="mil",1,0.0254)*1200,P103,R103,0)</f>
        <v>#NAME?</v>
      </c>
      <c r="AP103" s="473" t="e">
        <f>IF(AND(S103&gt;=IF($B$2="mil",1,0.0254)*500, $S103&lt;=IF($B$2="mil",1,0.0254)*6500),"Pass",IF($B$2="mil",1,0.0254)*6500-$S103)</f>
        <v>#REF!</v>
      </c>
      <c r="AQ103" s="504" t="e">
        <f>IF(AND($T103&gt;=IF($B$2="mil",1,0.0254)*500, $T103&lt;=IF($B$2="mil",1,0.0254)*7000),"Pass",IF($B$2="mil",1,0.0254)*7000-$T103)</f>
        <v>#REF!</v>
      </c>
      <c r="AR103" s="473" t="e">
        <f>IF(AND($Y103&gt;=IF($B$2="mil",1,0.0254)*500, $Y103&lt;=IF($B$2="mil",1,0.0254)*6500),"Pass",IF($B$2="mil",1,0.0254)*6500-$Y103)</f>
        <v>#REF!</v>
      </c>
      <c r="AS103" s="474" t="e">
        <f>IF(AND($Z103&gt;=IF($B$2="mil",1,0.0254)*500, $Z103&lt;=IF($B$2="mil",1,0.0254)*7000),"Pass",IF($B$2="mil",1,0.0254)*7000-$Z103)</f>
        <v>#REF!</v>
      </c>
      <c r="AT103" s="4" t="e">
        <f t="shared" ca="1" si="66"/>
        <v>#REF!</v>
      </c>
      <c r="AU103" s="2"/>
    </row>
    <row r="104" spans="5:47" x14ac:dyDescent="0.2">
      <c r="N104" s="180" t="s">
        <v>279</v>
      </c>
      <c r="O104" s="180"/>
      <c r="P104" s="298"/>
      <c r="Q104" s="182"/>
      <c r="R104" s="182"/>
      <c r="S104" s="182"/>
      <c r="T104" s="182"/>
      <c r="U104" s="182"/>
      <c r="V104" s="515"/>
      <c r="W104" s="385"/>
      <c r="X104" s="385"/>
      <c r="Y104" s="182"/>
      <c r="Z104" s="182"/>
      <c r="AA104" s="182"/>
      <c r="AB104" s="182"/>
      <c r="AC104" s="385"/>
      <c r="AD104" s="385"/>
      <c r="AE104" s="2"/>
      <c r="AF104" s="2"/>
      <c r="AG104" s="2"/>
      <c r="AH104" s="2"/>
      <c r="AI104" s="134" t="s">
        <v>279</v>
      </c>
      <c r="AJ104" s="506"/>
      <c r="AK104" s="2"/>
      <c r="AL104" s="2"/>
      <c r="AM104" s="134" t="s">
        <v>279</v>
      </c>
      <c r="AN104" s="385"/>
      <c r="AO104" s="385"/>
      <c r="AP104" s="385"/>
      <c r="AQ104" s="506"/>
      <c r="AR104" s="385"/>
      <c r="AS104" s="506"/>
      <c r="AT104" s="2"/>
      <c r="AU104" s="2"/>
    </row>
    <row r="105" spans="5:47" x14ac:dyDescent="0.2">
      <c r="N105" s="162" t="s">
        <v>106</v>
      </c>
      <c r="O105" s="162"/>
      <c r="P105">
        <v>468.72</v>
      </c>
      <c r="Q105" s="551">
        <v>70.95</v>
      </c>
      <c r="R105" s="551">
        <v>95.54</v>
      </c>
      <c r="S105" s="490">
        <f>SUM($E53:$G53,$M53,$P105,$Q105)</f>
        <v>4323.6499999999996</v>
      </c>
      <c r="T105" s="479" t="e">
        <f t="shared" si="56"/>
        <v>#REF!</v>
      </c>
      <c r="U105" s="469" t="e">
        <f>$V$84 + IF($B$2="mil",1,0.0254)*DDR2Specs!$E$9</f>
        <v>#REF!</v>
      </c>
      <c r="V105" s="492" t="e">
        <f>$U$84 + IF($B$2="mil",1,0.0254)*DDR2Specs!$F$9</f>
        <v>#REF!</v>
      </c>
      <c r="W105" s="491" t="e">
        <f>IF($T105&lt;$U105,$U105-$T105,"Pass")</f>
        <v>#REF!</v>
      </c>
      <c r="X105" s="492" t="e">
        <f>IF($T105&gt;$V105,$T105-$V105,"Pass")</f>
        <v>#REF!</v>
      </c>
      <c r="Y105" s="490">
        <f t="shared" si="57"/>
        <v>4348.24</v>
      </c>
      <c r="Z105" s="479" t="e">
        <f t="shared" si="58"/>
        <v>#REF!</v>
      </c>
      <c r="AA105" s="469" t="e">
        <f>$AB$84 + IF($B$2="mil",1,0.0254)*DDR2Specs!$E$9</f>
        <v>#REF!</v>
      </c>
      <c r="AB105" s="469" t="e">
        <f>$AA$84 + IF($B$2="mil",1,0.0254)*DDR2Specs!$F$9</f>
        <v>#REF!</v>
      </c>
      <c r="AC105" s="491" t="e">
        <f>IF($Z105&lt;$AA105,$AA105-$Z105,"Pass")</f>
        <v>#REF!</v>
      </c>
      <c r="AD105" s="492" t="e">
        <f>IF($Z105&gt;$AB105,$Z105-$AB105,"Pass")</f>
        <v>#REF!</v>
      </c>
      <c r="AE105" s="2"/>
      <c r="AF105" s="2"/>
      <c r="AG105" s="2"/>
      <c r="AH105" s="2"/>
      <c r="AI105" s="509" t="s">
        <v>106</v>
      </c>
      <c r="AJ105" s="504" t="e">
        <f>IF(P105&lt;=IF($B$2="mil",1,0.0254)*1000,"Pass",IF($B$2="mil",1,0.0254)*1000-P105)</f>
        <v>#REF!</v>
      </c>
      <c r="AK105" s="2"/>
      <c r="AL105" s="2"/>
      <c r="AM105" s="503" t="s">
        <v>106</v>
      </c>
      <c r="AN105" s="473" t="e">
        <f ca="1">CheckLength2(IF($B$2="mil",1,0.0254)*1200,P105,Q105,0)</f>
        <v>#NAME?</v>
      </c>
      <c r="AO105" s="473" t="e">
        <f ca="1">CheckLength2(IF($B$2="mil",1,0.0254)*1200,P105,R105,0)</f>
        <v>#NAME?</v>
      </c>
      <c r="AP105" s="473" t="e">
        <f>IF(AND(S105&gt;=IF($B$2="mil",1,0.0254)*500, $S105&lt;=IF($B$2="mil",1,0.0254)*6500),"Pass",IF($B$2="mil",1,0.0254)*6500-$S105)</f>
        <v>#REF!</v>
      </c>
      <c r="AQ105" s="504" t="e">
        <f>IF(AND($T105&gt;=IF($B$2="mil",1,0.0254)*500, $T105&lt;=IF($B$2="mil",1,0.0254)*7000),"Pass",IF($B$2="mil",1,0.0254)*7000-$T105)</f>
        <v>#REF!</v>
      </c>
      <c r="AR105" s="473" t="e">
        <f>IF(AND($Y105&gt;=IF($B$2="mil",1,0.0254)*500, $Y105&lt;=IF($B$2="mil",1,0.0254)*6500),"Pass",IF($B$2="mil",1,0.0254)*6500-$Y105)</f>
        <v>#REF!</v>
      </c>
      <c r="AS105" s="474" t="e">
        <f>IF(AND($Z105&gt;=IF($B$2="mil",1,0.0254)*500, $Z105&lt;=IF($B$2="mil",1,0.0254)*7000),"Pass",IF($B$2="mil",1,0.0254)*7000-$Z105)</f>
        <v>#REF!</v>
      </c>
      <c r="AT105" s="4" t="e">
        <f t="shared" ca="1" si="66"/>
        <v>#REF!</v>
      </c>
      <c r="AU105" s="2"/>
    </row>
    <row r="106" spans="5:47" x14ac:dyDescent="0.2">
      <c r="N106" s="217" t="s">
        <v>107</v>
      </c>
      <c r="O106" s="217"/>
      <c r="P106">
        <v>565.59</v>
      </c>
      <c r="Q106" s="551">
        <v>83.42</v>
      </c>
      <c r="R106" s="551">
        <v>92.89</v>
      </c>
      <c r="S106" s="490">
        <f>SUM($E54:$G54,$M54,$P106,$Q106)</f>
        <v>4265.62</v>
      </c>
      <c r="T106" s="479" t="e">
        <f t="shared" si="56"/>
        <v>#REF!</v>
      </c>
      <c r="U106" s="469" t="e">
        <f>$V$84 + IF($B$2="mil",1,0.0254)*DDR2Specs!$E$9</f>
        <v>#REF!</v>
      </c>
      <c r="V106" s="492" t="e">
        <f>$U$84 + IF($B$2="mil",1,0.0254)*DDR2Specs!$F$9</f>
        <v>#REF!</v>
      </c>
      <c r="W106" s="491" t="e">
        <f>IF($T106&lt;$U106,$U106-$T106,"Pass")</f>
        <v>#REF!</v>
      </c>
      <c r="X106" s="492" t="e">
        <f>IF($T106&gt;$V106,$T106-$V106,"Pass")</f>
        <v>#REF!</v>
      </c>
      <c r="Y106" s="490">
        <f t="shared" si="57"/>
        <v>4275.09</v>
      </c>
      <c r="Z106" s="479" t="e">
        <f t="shared" si="58"/>
        <v>#REF!</v>
      </c>
      <c r="AA106" s="469" t="e">
        <f>$AB$84 + IF($B$2="mil",1,0.0254)*DDR2Specs!$E$9</f>
        <v>#REF!</v>
      </c>
      <c r="AB106" s="469" t="e">
        <f>$AA$84 + IF($B$2="mil",1,0.0254)*DDR2Specs!$F$9</f>
        <v>#REF!</v>
      </c>
      <c r="AC106" s="491" t="e">
        <f>IF($Z106&lt;$AA106,$AA106-$Z106,"Pass")</f>
        <v>#REF!</v>
      </c>
      <c r="AD106" s="492" t="e">
        <f>IF($Z106&gt;$AB106,$Z106-$AB106,"Pass")</f>
        <v>#REF!</v>
      </c>
      <c r="AE106" s="2"/>
      <c r="AF106" s="2"/>
      <c r="AG106" s="2"/>
      <c r="AH106" s="2"/>
      <c r="AI106" s="510" t="s">
        <v>107</v>
      </c>
      <c r="AJ106" s="504" t="e">
        <f>IF(P106&lt;=IF($B$2="mil",1,0.0254)*1000,"Pass",IF($B$2="mil",1,0.0254)*1000-P106)</f>
        <v>#REF!</v>
      </c>
      <c r="AK106" s="2"/>
      <c r="AL106" s="2"/>
      <c r="AM106" s="505" t="s">
        <v>107</v>
      </c>
      <c r="AN106" s="473" t="e">
        <f ca="1">CheckLength2(IF($B$2="mil",1,0.0254)*1200,P106,Q106,0)</f>
        <v>#NAME?</v>
      </c>
      <c r="AO106" s="473" t="e">
        <f ca="1">CheckLength2(IF($B$2="mil",1,0.0254)*1200,P106,R106,0)</f>
        <v>#NAME?</v>
      </c>
      <c r="AP106" s="473" t="e">
        <f>IF(AND(S106&gt;=IF($B$2="mil",1,0.0254)*500, $S106&lt;=IF($B$2="mil",1,0.0254)*6500),"Pass",IF($B$2="mil",1,0.0254)*6500-$S106)</f>
        <v>#REF!</v>
      </c>
      <c r="AQ106" s="504" t="e">
        <f>IF(AND($T106&gt;=IF($B$2="mil",1,0.0254)*500, $T106&lt;=IF($B$2="mil",1,0.0254)*7000),"Pass",IF($B$2="mil",1,0.0254)*7000-$T106)</f>
        <v>#REF!</v>
      </c>
      <c r="AR106" s="473" t="e">
        <f>IF(AND($Y106&gt;=IF($B$2="mil",1,0.0254)*500, $Y106&lt;=IF($B$2="mil",1,0.0254)*6500),"Pass",IF($B$2="mil",1,0.0254)*6500-$Y106)</f>
        <v>#REF!</v>
      </c>
      <c r="AS106" s="474" t="e">
        <f>IF(AND($Z106&gt;=IF($B$2="mil",1,0.0254)*500, $Z106&lt;=IF($B$2="mil",1,0.0254)*7000),"Pass",IF($B$2="mil",1,0.0254)*7000-$Z106)</f>
        <v>#REF!</v>
      </c>
      <c r="AT106" s="4" t="e">
        <f t="shared" ca="1" si="66"/>
        <v>#REF!</v>
      </c>
      <c r="AU106" s="2"/>
    </row>
    <row r="107" spans="5:47" x14ac:dyDescent="0.2">
      <c r="N107" s="217" t="s">
        <v>108</v>
      </c>
      <c r="O107" s="217"/>
      <c r="P107">
        <v>571.29999999999995</v>
      </c>
      <c r="Q107" s="551">
        <v>108.65</v>
      </c>
      <c r="R107" s="551">
        <v>46.75</v>
      </c>
      <c r="S107" s="490">
        <f>SUM($E55:$G55,$M55,$P107,$Q107)</f>
        <v>4384.21</v>
      </c>
      <c r="T107" s="479" t="e">
        <f>$S107+IF($B$2="mil",1,0.0254)*$C55</f>
        <v>#REF!</v>
      </c>
      <c r="U107" s="469" t="e">
        <f>$V$84 + IF($B$2="mil",1,0.0254)*DDR2Specs!$E$9</f>
        <v>#REF!</v>
      </c>
      <c r="V107" s="492" t="e">
        <f>$U$84 + IF($B$2="mil",1,0.0254)*DDR2Specs!$F$9</f>
        <v>#REF!</v>
      </c>
      <c r="W107" s="491" t="e">
        <f>IF($T107&lt;$U107,$U107-$T107,"Pass")</f>
        <v>#REF!</v>
      </c>
      <c r="X107" s="492" t="e">
        <f>IF($T107&gt;$V107,$T107-$V107,"Pass")</f>
        <v>#REF!</v>
      </c>
      <c r="Y107" s="490">
        <f t="shared" si="57"/>
        <v>4322.3100000000004</v>
      </c>
      <c r="Z107" s="479" t="e">
        <f>$Y107+IF($B$2="mil",1,0.0254)*$C55</f>
        <v>#REF!</v>
      </c>
      <c r="AA107" s="469" t="e">
        <f>$AB$84 + IF($B$2="mil",1,0.0254)*DDR2Specs!$E$9</f>
        <v>#REF!</v>
      </c>
      <c r="AB107" s="469" t="e">
        <f>$AA$84 + IF($B$2="mil",1,0.0254)*DDR2Specs!$F$9</f>
        <v>#REF!</v>
      </c>
      <c r="AC107" s="491" t="e">
        <f>IF($Z107&lt;$AA107,$AA107-$Z107,"Pass")</f>
        <v>#REF!</v>
      </c>
      <c r="AD107" s="492" t="e">
        <f>IF($Z107&gt;$AB107,$Z107-$AB107,"Pass")</f>
        <v>#REF!</v>
      </c>
      <c r="AE107" s="2"/>
      <c r="AF107" s="2"/>
      <c r="AG107" s="2"/>
      <c r="AH107" s="2"/>
      <c r="AI107" s="510" t="s">
        <v>108</v>
      </c>
      <c r="AJ107" s="504" t="e">
        <f>IF(P107&lt;=IF($B$2="mil",1,0.0254)*1000,"Pass",IF($B$2="mil",1,0.0254)*1000-P107)</f>
        <v>#REF!</v>
      </c>
      <c r="AK107" s="2"/>
      <c r="AL107" s="2"/>
      <c r="AM107" s="505" t="s">
        <v>108</v>
      </c>
      <c r="AN107" s="473" t="e">
        <f ca="1">CheckLength2(IF($B$2="mil",1,0.0254)*1200,P107,Q107,0)</f>
        <v>#NAME?</v>
      </c>
      <c r="AO107" s="473" t="e">
        <f ca="1">CheckLength2(IF($B$2="mil",1,0.0254)*1200,P107,R107,0)</f>
        <v>#NAME?</v>
      </c>
      <c r="AP107" s="473" t="e">
        <f>IF(AND(S107&gt;=IF($B$2="mil",1,0.0254)*500, $S107&lt;=IF($B$2="mil",1,0.0254)*6500),"Pass",IF($B$2="mil",1,0.0254)*6500-$S107)</f>
        <v>#REF!</v>
      </c>
      <c r="AQ107" s="504" t="e">
        <f>IF(AND($T107&gt;=IF($B$2="mil",1,0.0254)*500, $T107&lt;=IF($B$2="mil",1,0.0254)*7000),"Pass",IF($B$2="mil",1,0.0254)*7000-$T107)</f>
        <v>#REF!</v>
      </c>
      <c r="AR107" s="473" t="e">
        <f>IF(AND($Y107&gt;=IF($B$2="mil",1,0.0254)*500, $Y107&lt;=IF($B$2="mil",1,0.0254)*6500),"Pass",IF($B$2="mil",1,0.0254)*6500-$Y107)</f>
        <v>#REF!</v>
      </c>
      <c r="AS107" s="474" t="e">
        <f>IF(AND($Z107&gt;=IF($B$2="mil",1,0.0254)*500, $Z107&lt;=IF($B$2="mil",1,0.0254)*7000),"Pass",IF($B$2="mil",1,0.0254)*7000-$Z107)</f>
        <v>#REF!</v>
      </c>
      <c r="AT107" s="4" t="e">
        <f t="shared" ca="1" si="66"/>
        <v>#REF!</v>
      </c>
      <c r="AU107" s="2"/>
    </row>
    <row r="108" spans="5:47" x14ac:dyDescent="0.2">
      <c r="N108" s="289" t="s">
        <v>494</v>
      </c>
      <c r="O108" s="289"/>
      <c r="P108" s="123" t="e">
        <f>"Trace L7-2 ["&amp;$B$2&amp;"]"</f>
        <v>#REF!</v>
      </c>
      <c r="Q108" s="123" t="e">
        <f>"Trace L8-7 to U4 ["&amp;$B$2&amp;"]"</f>
        <v>#REF!</v>
      </c>
      <c r="R108" s="123" t="e">
        <f>"Trace L8-8 to U8 ["&amp;$B$2&amp;"]"</f>
        <v>#REF!</v>
      </c>
      <c r="S108" s="495" t="e">
        <f>"Total MB Length to U4 (L0+L1+L2+L5+L6-2+L7-2+L8-7) ["&amp;$B$2&amp;"]"</f>
        <v>#REF!</v>
      </c>
      <c r="T108" s="495" t="e">
        <f>"Total Pad to Pin U4 (P1+LL0+L1+L2+L5+L6-2+L7-2+L8-7) ["&amp;$B$2&amp;"]"</f>
        <v>#REF!</v>
      </c>
      <c r="U108" s="496" t="e">
        <f>"Target Min Length  to U4
["&amp;$B$2&amp;"]"</f>
        <v>#REF!</v>
      </c>
      <c r="V108" s="497" t="e">
        <f>"Target Max Length  to U4 
["&amp;$B$2&amp;"]"</f>
        <v>#REF!</v>
      </c>
      <c r="W108" s="498" t="e">
        <f>"Routed Too Short to U4 [" &amp;$B$2&amp;"]"</f>
        <v>#REF!</v>
      </c>
      <c r="X108" s="496" t="e">
        <f>"Routed Too Long to U4 [" &amp;$B$2&amp;"]"</f>
        <v>#REF!</v>
      </c>
      <c r="Y108" s="495" t="e">
        <f>"Total MB Length to U8 (L0+L1+L2+L5+L6-2+L7-2+L8-8) ["&amp;$B$2&amp;"]"</f>
        <v>#REF!</v>
      </c>
      <c r="Z108" s="495" t="e">
        <f>"Total Pad to Pin U8 (P1+L0+L1+L2+L5+L6-2+L7-2+L8-8) ["&amp;$B$2&amp;"]"</f>
        <v>#REF!</v>
      </c>
      <c r="AA108" s="496" t="e">
        <f>"Target Min Length  to U8
["&amp;$B$2&amp;"]"</f>
        <v>#REF!</v>
      </c>
      <c r="AB108" s="497" t="e">
        <f>"Target Max Length  to U8 
["&amp;$B$2&amp;"]"</f>
        <v>#REF!</v>
      </c>
      <c r="AC108" s="498" t="e">
        <f>"Routed Too Short to U8 [" &amp;$B$2&amp;"]"</f>
        <v>#REF!</v>
      </c>
      <c r="AD108" s="496" t="e">
        <f>"Routed Too Long to U8 [" &amp;$B$2&amp;"]"</f>
        <v>#REF!</v>
      </c>
      <c r="AE108" s="2"/>
      <c r="AF108" s="2"/>
      <c r="AG108" s="2"/>
      <c r="AH108" s="2"/>
      <c r="AI108" s="2"/>
      <c r="AJ108" s="2"/>
      <c r="AK108" s="512" t="s">
        <v>494</v>
      </c>
      <c r="AL108" s="497" t="e">
        <f>"L7-2 Length Test (&lt;=" &amp; IF($B$2="mil",1,0.0254)*1000&amp;$B$2&amp;")"</f>
        <v>#REF!</v>
      </c>
      <c r="AM108" s="2"/>
      <c r="AN108" s="500" t="e">
        <f>"L8-7 Length Test (&lt;=" &amp; IF($B$2="mil",1,0.0254)*200&amp;$B$2&amp;") or (L7-2+L8-7&lt;= "&amp;IF($B$2="mil",1,0.0254)*1200&amp;$B$2&amp;")"</f>
        <v>#REF!</v>
      </c>
      <c r="AO108" s="500" t="e">
        <f>"L8-8 Length Test (&lt;=" &amp; IF($B$2="mil",1,0.0254)*200&amp;$B$2&amp;") or (L7-2+L8-8&lt;= "&amp;IF($B$2="mil",1,0.0254)*1200&amp;$B$2&amp;")"</f>
        <v>#REF!</v>
      </c>
      <c r="AP108" s="497" t="e">
        <f>"Total Length to U4 (L0+L1+L2+L5+L6-2+L7-2+L8-7) Test
 ("&amp;IF($B$2="mil",1,0.0254)*500&amp;"-"&amp;IF($B$2="mil",1,0.0254)*6500&amp;IF($B$2="mil","mil","mm")&amp;")"</f>
        <v>#REF!</v>
      </c>
      <c r="AQ108" s="497" t="e">
        <f>"Total Length to U4 (P1+L0+L1+L2+L5+L6-2+L7-2+L8-7) Test
 (&lt;="&amp;IF($B$2="mil",1,25.4)*7000&amp;IF($B$2="mil","mil","mm")&amp;")"</f>
        <v>#REF!</v>
      </c>
      <c r="AR108" s="500" t="e">
        <f>"Total Length to U8 (L0+L1+L2+L5+L6-2+L7-2+L8-8) Test
 ("&amp;IF($B$2="mil",1,0.0254)*500&amp;"-"&amp;IF($B$2="mil",1,0.0254)*6500&amp;IF($B$2="mil","mil","mm")&amp;")"</f>
        <v>#REF!</v>
      </c>
      <c r="AS108" s="497" t="e">
        <f>"Total Length to U8 (P1+L0+L1+L2+L5+L6-2+L7-2+L8-8) Test
 (&lt;="&amp;IF($B$2="mil",1,25.4)*7000&amp;IF($B$2="mil","mil","mm")&amp;")"</f>
        <v>#REF!</v>
      </c>
      <c r="AT108" s="2"/>
      <c r="AU108" s="2"/>
    </row>
    <row r="109" spans="5:47" x14ac:dyDescent="0.2">
      <c r="N109" s="134" t="s">
        <v>258</v>
      </c>
      <c r="O109" s="134"/>
      <c r="P109" s="135"/>
      <c r="Q109" s="135"/>
      <c r="R109" s="135"/>
      <c r="S109" s="135"/>
      <c r="T109" s="135"/>
      <c r="U109" s="135"/>
      <c r="V109" s="385"/>
      <c r="W109" s="135"/>
      <c r="X109" s="135"/>
      <c r="Y109" s="135"/>
      <c r="Z109" s="135"/>
      <c r="AA109" s="135"/>
      <c r="AB109" s="135"/>
      <c r="AC109" s="135"/>
      <c r="AD109" s="135"/>
      <c r="AE109" s="2"/>
      <c r="AF109" s="2"/>
      <c r="AG109" s="2"/>
      <c r="AH109" s="2"/>
      <c r="AI109" s="2"/>
      <c r="AJ109" s="2"/>
      <c r="AK109" s="134" t="s">
        <v>258</v>
      </c>
      <c r="AL109" s="137"/>
      <c r="AM109" s="2"/>
      <c r="AN109" s="135"/>
      <c r="AO109" s="135"/>
      <c r="AP109" s="135"/>
      <c r="AQ109" s="137"/>
      <c r="AR109" s="135"/>
      <c r="AS109" s="137"/>
      <c r="AT109" s="2"/>
      <c r="AU109" s="2"/>
    </row>
    <row r="110" spans="5:47" x14ac:dyDescent="0.2">
      <c r="N110" s="235" t="s">
        <v>262</v>
      </c>
      <c r="O110" s="235"/>
      <c r="P110" s="143"/>
      <c r="Q110" s="143"/>
      <c r="R110" s="143"/>
      <c r="S110" s="143"/>
      <c r="T110" s="502" t="s">
        <v>273</v>
      </c>
      <c r="U110" s="487" t="e">
        <f>MIN('DDR2 Clocks - 4L'!$O$17:$O$18)</f>
        <v>#REF!</v>
      </c>
      <c r="V110" s="484" t="e">
        <f>MAX('DDR2 Clocks - 4L'!$O$17:$O$18)</f>
        <v>#REF!</v>
      </c>
      <c r="W110" s="487"/>
      <c r="X110" s="145"/>
      <c r="Y110" s="143"/>
      <c r="Z110" s="502" t="s">
        <v>335</v>
      </c>
      <c r="AA110" s="487" t="e">
        <f>MIN('DDR2 Clocks - 4L'!$O$19:$O$20)</f>
        <v>#REF!</v>
      </c>
      <c r="AB110" s="486" t="e">
        <f>MAX('DDR2 Clocks - 4L'!$O$19:$O$20)</f>
        <v>#REF!</v>
      </c>
      <c r="AC110" s="487"/>
      <c r="AD110" s="145"/>
      <c r="AE110" s="2"/>
      <c r="AF110" s="2"/>
      <c r="AG110" s="2"/>
      <c r="AH110" s="2"/>
      <c r="AI110" s="2"/>
      <c r="AJ110" s="2"/>
      <c r="AK110" s="141" t="s">
        <v>262</v>
      </c>
      <c r="AL110" s="484"/>
      <c r="AM110" s="2"/>
      <c r="AN110" s="483"/>
      <c r="AO110" s="483"/>
      <c r="AP110" s="483"/>
      <c r="AQ110" s="484"/>
      <c r="AR110" s="483"/>
      <c r="AS110" s="484"/>
      <c r="AT110" s="2"/>
      <c r="AU110" s="2"/>
    </row>
    <row r="111" spans="5:47" x14ac:dyDescent="0.2">
      <c r="N111" s="180" t="s">
        <v>277</v>
      </c>
      <c r="O111" s="365"/>
      <c r="P111" s="157"/>
      <c r="Q111" s="157"/>
      <c r="R111" s="157"/>
      <c r="S111" s="157"/>
      <c r="T111" s="157"/>
      <c r="U111" s="155"/>
      <c r="V111" s="514"/>
      <c r="W111" s="476"/>
      <c r="X111" s="155"/>
      <c r="Y111" s="157"/>
      <c r="Z111" s="157"/>
      <c r="AA111" s="155"/>
      <c r="AB111" s="476"/>
      <c r="AC111" s="476"/>
      <c r="AD111" s="155"/>
      <c r="AE111" s="2"/>
      <c r="AF111" s="2"/>
      <c r="AG111" s="2"/>
      <c r="AH111" s="2"/>
      <c r="AI111" s="2"/>
      <c r="AJ111" s="2"/>
      <c r="AK111" s="134" t="s">
        <v>277</v>
      </c>
      <c r="AL111" s="244"/>
      <c r="AM111" s="2"/>
      <c r="AN111" s="155"/>
      <c r="AO111" s="155"/>
      <c r="AP111" s="155"/>
      <c r="AQ111" s="244"/>
      <c r="AR111" s="155"/>
      <c r="AS111" s="244"/>
      <c r="AT111" s="2"/>
      <c r="AU111" s="2"/>
    </row>
    <row r="112" spans="5:47" x14ac:dyDescent="0.2">
      <c r="N112" s="162" t="s">
        <v>244</v>
      </c>
      <c r="O112" s="162"/>
      <c r="P112">
        <v>696.48</v>
      </c>
      <c r="Q112">
        <v>150.80000000000001</v>
      </c>
      <c r="R112">
        <v>179.25</v>
      </c>
      <c r="S112" s="490">
        <f>SUM($E34:$G34,$M34,$P112,$P86,$Q112)</f>
        <v>5028.2500000000009</v>
      </c>
      <c r="T112" s="479" t="e">
        <f>$S112+IF($B$2="mil",1,0.0254)*$C34</f>
        <v>#REF!</v>
      </c>
      <c r="U112" s="469" t="e">
        <f>$V$110 + IF($B$2="mil",1,0.0254)*DDR2Specs!$E$9</f>
        <v>#REF!</v>
      </c>
      <c r="V112" s="492" t="e">
        <f>$U$110 + IF($B$2="mil",1,0.0254)*DDR2Specs!$F$9</f>
        <v>#REF!</v>
      </c>
      <c r="W112" s="491" t="e">
        <f t="shared" ref="W112:W125" si="67">IF($T112&lt;$U112,$U112-$T112,"Pass")</f>
        <v>#REF!</v>
      </c>
      <c r="X112" s="492" t="e">
        <f t="shared" ref="X112:X125" si="68">IF($T112&gt;$V112,$T112-$V112,"Pass")</f>
        <v>#REF!</v>
      </c>
      <c r="Y112" s="490">
        <f>SUM($E34:$G34,$M34,$P112,$P86,$R112)</f>
        <v>5056.7000000000007</v>
      </c>
      <c r="Z112" s="479" t="e">
        <f>$Y112+IF($B$2="mil",1,0.0254)*$C34</f>
        <v>#REF!</v>
      </c>
      <c r="AA112" s="469" t="e">
        <f>$AB$110 + IF($B$2="mil",1,0.0254)*DDR2Specs!$E$9</f>
        <v>#REF!</v>
      </c>
      <c r="AB112" s="469" t="e">
        <f>$AA$110 + IF($B$2="mil",1,0.0254)*DDR2Specs!$F$9</f>
        <v>#REF!</v>
      </c>
      <c r="AC112" s="491" t="e">
        <f t="shared" ref="AC112:AC125" si="69">IF($Z112&lt;$AA112,$AA112-$Z112,"Pass")</f>
        <v>#REF!</v>
      </c>
      <c r="AD112" s="492" t="e">
        <f t="shared" ref="AD112:AD125" si="70">IF($Z112&gt;$AB112,$Z112-$AB112,"Pass")</f>
        <v>#REF!</v>
      </c>
      <c r="AE112" s="2"/>
      <c r="AF112" s="2"/>
      <c r="AG112" s="2"/>
      <c r="AH112" s="2"/>
      <c r="AI112" s="2"/>
      <c r="AJ112" s="2"/>
      <c r="AK112" s="509" t="s">
        <v>244</v>
      </c>
      <c r="AL112" s="504" t="e">
        <f>IF(P112&lt;=IF($B$2="mil",1,0.0254)*1000,"Pass",IF($B$2="mil",1,0.0254)*1000-P112)</f>
        <v>#REF!</v>
      </c>
      <c r="AM112" s="2"/>
      <c r="AN112" s="473" t="e">
        <f ca="1">CheckLength2(IF($B$2="mil",1,0.0254)*1200,P112,Q112,0)</f>
        <v>#NAME?</v>
      </c>
      <c r="AO112" s="473" t="e">
        <f ca="1">CheckLength2(IF($B$2="mil",1,0.0254)*1200,P112,R112,0)</f>
        <v>#NAME?</v>
      </c>
      <c r="AP112" s="473" t="e">
        <f>IF(AND(S112&gt;=IF($B$2="mil",1,0.0254)*500, $S112&lt;=IF($B$2="mil",1,0.0254)*6500),"Pass",IF($B$2="mil",1,0.0254)*6500-$S112)</f>
        <v>#REF!</v>
      </c>
      <c r="AQ112" s="504" t="e">
        <f>IF(AND($T112&gt;=IF($B$2="mil",1,0.0254)*500, $T112&lt;=IF($B$2="mil",1,0.0254)*7000),"Pass",IF($B$2="mil",1,0.0254)*7000-$T112)</f>
        <v>#REF!</v>
      </c>
      <c r="AR112" s="473" t="e">
        <f>IF(AND($Y112&gt;=IF($B$2="mil",1,0.0254)*500, $Y112&lt;=IF($B$2="mil",1,0.0254)*6500),"Pass",IF($B$2="mil",1,0.0254)*6500-$Y112)</f>
        <v>#REF!</v>
      </c>
      <c r="AS112" s="474" t="e">
        <f>IF(AND($Z112&gt;=IF($B$2="mil",1,0.0254)*500, $Z112&lt;=IF($B$2="mil",1,0.0254)*7000),"Pass",IF($B$2="mil",1,0.0254)*7000-$Z112)</f>
        <v>#REF!</v>
      </c>
      <c r="AT112" s="4" t="e">
        <f ca="1">IF(AND(W86="Pass",X86="Pass",AL112="Pass",AN112="Pass",AO112="Pass",AP112="Pass",AQ112="Pass",AR112="Pass",AS112="Pass"),"Pass","Fail")</f>
        <v>#REF!</v>
      </c>
      <c r="AU112" s="4" t="e">
        <f ca="1">IF(AND(AT112="Pass",AT113="Pass",AT114="Pass",AT115="Pass",AT116="Pass",AT117="Pass",AT118="Pass",AT119="Pass",AT120="Pass",AT121="Pass",AT122="Pass"),"Pass","Fail")</f>
        <v>#REF!</v>
      </c>
    </row>
    <row r="113" spans="14:47" x14ac:dyDescent="0.2">
      <c r="N113" s="217" t="s">
        <v>87</v>
      </c>
      <c r="O113" s="217"/>
      <c r="P113">
        <v>674.74</v>
      </c>
      <c r="Q113">
        <v>150.6</v>
      </c>
      <c r="R113">
        <v>85.13</v>
      </c>
      <c r="S113" s="490">
        <f t="shared" ref="S113:S133" si="71">SUM($E35:$G35,$M35,$P113,$P87,$Q113)</f>
        <v>4927.9399999999996</v>
      </c>
      <c r="T113" s="479" t="e">
        <f t="shared" ref="T113:T133" si="72">$S113+IF($B$2="mil",1,0.0254)*$C35</f>
        <v>#REF!</v>
      </c>
      <c r="U113" s="469" t="e">
        <f>$V$110 + IF($B$2="mil",1,0.0254)*DDR2Specs!$E$9</f>
        <v>#REF!</v>
      </c>
      <c r="V113" s="492" t="e">
        <f>$U$110 + IF($B$2="mil",1,0.0254)*DDR2Specs!$F$9</f>
        <v>#REF!</v>
      </c>
      <c r="W113" s="491" t="e">
        <f t="shared" si="67"/>
        <v>#REF!</v>
      </c>
      <c r="X113" s="492" t="e">
        <f t="shared" si="68"/>
        <v>#REF!</v>
      </c>
      <c r="Y113" s="490">
        <f t="shared" ref="Y113:Y133" si="73">SUM($E35:$G35,$M35,$P113,$P87,$R113)</f>
        <v>4862.4699999999993</v>
      </c>
      <c r="Z113" s="479" t="e">
        <f t="shared" ref="Z113:Z133" si="74">$Y113+IF($B$2="mil",1,0.0254)*$C35</f>
        <v>#REF!</v>
      </c>
      <c r="AA113" s="469" t="e">
        <f>$AB$110 + IF($B$2="mil",1,0.0254)*DDR2Specs!$E$9</f>
        <v>#REF!</v>
      </c>
      <c r="AB113" s="469" t="e">
        <f>$AA$110 + IF($B$2="mil",1,0.0254)*DDR2Specs!$F$9</f>
        <v>#REF!</v>
      </c>
      <c r="AC113" s="491" t="e">
        <f t="shared" si="69"/>
        <v>#REF!</v>
      </c>
      <c r="AD113" s="492" t="e">
        <f t="shared" si="70"/>
        <v>#REF!</v>
      </c>
      <c r="AE113" s="2"/>
      <c r="AF113" s="2"/>
      <c r="AG113" s="2"/>
      <c r="AH113" s="2"/>
      <c r="AI113" s="2"/>
      <c r="AJ113" s="2"/>
      <c r="AK113" s="510" t="s">
        <v>87</v>
      </c>
      <c r="AL113" s="504" t="e">
        <f t="shared" ref="AL113:AL125" si="75">IF(P113&lt;=IF($B$2="mil",1,0.0254)*1000,"Pass",IF($B$2="mil",1,0.0254)*1000-P113)</f>
        <v>#REF!</v>
      </c>
      <c r="AM113" s="2"/>
      <c r="AN113" s="473" t="e">
        <f t="shared" ref="AN113:AN125" ca="1" si="76">CheckLength2(IF($B$2="mil",1,0.0254)*1200,P113,Q113,0)</f>
        <v>#NAME?</v>
      </c>
      <c r="AO113" s="473" t="e">
        <f t="shared" ref="AO113:AO125" ca="1" si="77">CheckLength2(IF($B$2="mil",1,0.0254)*1200,P113,R113,0)</f>
        <v>#NAME?</v>
      </c>
      <c r="AP113" s="473" t="e">
        <f t="shared" ref="AP113:AP125" si="78">IF(AND(S113&gt;=IF($B$2="mil",1,0.0254)*500, $S113&lt;=IF($B$2="mil",1,0.0254)*6500),"Pass",IF($B$2="mil",1,0.0254)*6500-$S113)</f>
        <v>#REF!</v>
      </c>
      <c r="AQ113" s="504" t="e">
        <f t="shared" ref="AQ113:AQ125" si="79">IF(AND($T113&gt;=IF($B$2="mil",1,0.0254)*500, $T113&lt;=IF($B$2="mil",1,0.0254)*7000),"Pass",IF($B$2="mil",1,0.0254)*7000-$T113)</f>
        <v>#REF!</v>
      </c>
      <c r="AR113" s="473" t="e">
        <f t="shared" ref="AR113:AR125" si="80">IF(AND($Y113&gt;=IF($B$2="mil",1,0.0254)*500, $Y113&lt;=IF($B$2="mil",1,0.0254)*6500),"Pass",IF($B$2="mil",1,0.0254)*6500-$Y113)</f>
        <v>#REF!</v>
      </c>
      <c r="AS113" s="474" t="e">
        <f t="shared" ref="AS113:AS125" si="81">IF(AND($Z113&gt;=IF($B$2="mil",1,0.0254)*500, $Z113&lt;=IF($B$2="mil",1,0.0254)*7000),"Pass",IF($B$2="mil",1,0.0254)*7000-$Z113)</f>
        <v>#REF!</v>
      </c>
      <c r="AT113" s="4" t="e">
        <f t="shared" ref="AT113:AT133" ca="1" si="82">IF(AND(W87="Pass",X87="Pass",AL113="Pass",AN113="Pass",AO113="Pass",AP113="Pass",AQ113="Pass",AR113="Pass",AS113="Pass"),"Pass","Fail")</f>
        <v>#REF!</v>
      </c>
      <c r="AU113" s="4" t="e">
        <f ca="1">IF(AND(AT123="Pass",AT124="Pass",AT125="Pass",AT127="Pass",AT128="Pass",AT129="Pass",AT131="Pass",AT132="Pass",AT133="Pass"),"Pass","Fail")</f>
        <v>#REF!</v>
      </c>
    </row>
    <row r="114" spans="14:47" x14ac:dyDescent="0.2">
      <c r="N114" s="217" t="s">
        <v>88</v>
      </c>
      <c r="O114" s="217"/>
      <c r="P114">
        <v>709.74</v>
      </c>
      <c r="Q114">
        <v>104.19</v>
      </c>
      <c r="R114">
        <v>89.68</v>
      </c>
      <c r="S114" s="490">
        <f t="shared" si="71"/>
        <v>5116.12</v>
      </c>
      <c r="T114" s="479" t="e">
        <f t="shared" si="72"/>
        <v>#REF!</v>
      </c>
      <c r="U114" s="469" t="e">
        <f>$V$110 + IF($B$2="mil",1,0.0254)*DDR2Specs!$E$9</f>
        <v>#REF!</v>
      </c>
      <c r="V114" s="492" t="e">
        <f>$U$110 + IF($B$2="mil",1,0.0254)*DDR2Specs!$F$9</f>
        <v>#REF!</v>
      </c>
      <c r="W114" s="491" t="e">
        <f t="shared" si="67"/>
        <v>#REF!</v>
      </c>
      <c r="X114" s="492" t="e">
        <f t="shared" si="68"/>
        <v>#REF!</v>
      </c>
      <c r="Y114" s="490">
        <f t="shared" si="73"/>
        <v>5101.6100000000006</v>
      </c>
      <c r="Z114" s="479" t="e">
        <f t="shared" si="74"/>
        <v>#REF!</v>
      </c>
      <c r="AA114" s="469" t="e">
        <f>$AB$110 + IF($B$2="mil",1,0.0254)*DDR2Specs!$E$9</f>
        <v>#REF!</v>
      </c>
      <c r="AB114" s="469" t="e">
        <f>$AA$110 + IF($B$2="mil",1,0.0254)*DDR2Specs!$F$9</f>
        <v>#REF!</v>
      </c>
      <c r="AC114" s="491" t="e">
        <f t="shared" si="69"/>
        <v>#REF!</v>
      </c>
      <c r="AD114" s="492" t="e">
        <f t="shared" si="70"/>
        <v>#REF!</v>
      </c>
      <c r="AE114" s="2"/>
      <c r="AF114" s="2"/>
      <c r="AG114" s="2"/>
      <c r="AH114" s="2"/>
      <c r="AI114" s="2"/>
      <c r="AJ114" s="2"/>
      <c r="AK114" s="510" t="s">
        <v>88</v>
      </c>
      <c r="AL114" s="504" t="e">
        <f t="shared" si="75"/>
        <v>#REF!</v>
      </c>
      <c r="AM114" s="2"/>
      <c r="AN114" s="473" t="e">
        <f t="shared" ca="1" si="76"/>
        <v>#NAME?</v>
      </c>
      <c r="AO114" s="473" t="e">
        <f t="shared" ca="1" si="77"/>
        <v>#NAME?</v>
      </c>
      <c r="AP114" s="473" t="e">
        <f t="shared" si="78"/>
        <v>#REF!</v>
      </c>
      <c r="AQ114" s="504" t="e">
        <f t="shared" si="79"/>
        <v>#REF!</v>
      </c>
      <c r="AR114" s="473" t="e">
        <f t="shared" si="80"/>
        <v>#REF!</v>
      </c>
      <c r="AS114" s="474" t="e">
        <f t="shared" si="81"/>
        <v>#REF!</v>
      </c>
      <c r="AT114" s="4" t="e">
        <f t="shared" ca="1" si="82"/>
        <v>#REF!</v>
      </c>
      <c r="AU114" s="2"/>
    </row>
    <row r="115" spans="14:47" x14ac:dyDescent="0.2">
      <c r="N115" s="217" t="s">
        <v>89</v>
      </c>
      <c r="O115" s="217"/>
      <c r="P115">
        <v>645.12</v>
      </c>
      <c r="Q115">
        <v>373.47</v>
      </c>
      <c r="R115">
        <v>427.53</v>
      </c>
      <c r="S115" s="490">
        <f t="shared" si="71"/>
        <v>4944.12</v>
      </c>
      <c r="T115" s="479" t="e">
        <f t="shared" si="72"/>
        <v>#REF!</v>
      </c>
      <c r="U115" s="469" t="e">
        <f>$V$110 + IF($B$2="mil",1,0.0254)*DDR2Specs!$E$9</f>
        <v>#REF!</v>
      </c>
      <c r="V115" s="492" t="e">
        <f>$U$110 + IF($B$2="mil",1,0.0254)*DDR2Specs!$F$9</f>
        <v>#REF!</v>
      </c>
      <c r="W115" s="491" t="e">
        <f t="shared" si="67"/>
        <v>#REF!</v>
      </c>
      <c r="X115" s="492" t="e">
        <f t="shared" si="68"/>
        <v>#REF!</v>
      </c>
      <c r="Y115" s="490">
        <f t="shared" si="73"/>
        <v>4998.1799999999994</v>
      </c>
      <c r="Z115" s="479" t="e">
        <f t="shared" si="74"/>
        <v>#REF!</v>
      </c>
      <c r="AA115" s="469" t="e">
        <f>$AB$110 + IF($B$2="mil",1,0.0254)*DDR2Specs!$E$9</f>
        <v>#REF!</v>
      </c>
      <c r="AB115" s="469" t="e">
        <f>$AA$110 + IF($B$2="mil",1,0.0254)*DDR2Specs!$F$9</f>
        <v>#REF!</v>
      </c>
      <c r="AC115" s="491" t="e">
        <f t="shared" si="69"/>
        <v>#REF!</v>
      </c>
      <c r="AD115" s="492" t="e">
        <f t="shared" si="70"/>
        <v>#REF!</v>
      </c>
      <c r="AE115" s="2"/>
      <c r="AF115" s="2"/>
      <c r="AG115" s="2"/>
      <c r="AH115" s="2"/>
      <c r="AI115" s="2"/>
      <c r="AJ115" s="2"/>
      <c r="AK115" s="510" t="s">
        <v>89</v>
      </c>
      <c r="AL115" s="504" t="e">
        <f t="shared" si="75"/>
        <v>#REF!</v>
      </c>
      <c r="AM115" s="2"/>
      <c r="AN115" s="473" t="e">
        <f t="shared" ca="1" si="76"/>
        <v>#NAME?</v>
      </c>
      <c r="AO115" s="473" t="e">
        <f t="shared" ca="1" si="77"/>
        <v>#NAME?</v>
      </c>
      <c r="AP115" s="473" t="e">
        <f t="shared" si="78"/>
        <v>#REF!</v>
      </c>
      <c r="AQ115" s="504" t="e">
        <f t="shared" si="79"/>
        <v>#REF!</v>
      </c>
      <c r="AR115" s="473" t="e">
        <f t="shared" si="80"/>
        <v>#REF!</v>
      </c>
      <c r="AS115" s="474" t="e">
        <f t="shared" si="81"/>
        <v>#REF!</v>
      </c>
      <c r="AT115" s="4" t="e">
        <f t="shared" ca="1" si="82"/>
        <v>#REF!</v>
      </c>
      <c r="AU115" s="2"/>
    </row>
    <row r="116" spans="14:47" x14ac:dyDescent="0.2">
      <c r="N116" s="217" t="s">
        <v>90</v>
      </c>
      <c r="O116" s="217"/>
      <c r="P116">
        <v>643.25</v>
      </c>
      <c r="Q116">
        <v>369.56</v>
      </c>
      <c r="R116">
        <v>402.05</v>
      </c>
      <c r="S116" s="490">
        <f t="shared" si="71"/>
        <v>5095.59</v>
      </c>
      <c r="T116" s="479" t="e">
        <f t="shared" si="72"/>
        <v>#REF!</v>
      </c>
      <c r="U116" s="469" t="e">
        <f>$V$110 + IF($B$2="mil",1,0.0254)*DDR2Specs!$E$9</f>
        <v>#REF!</v>
      </c>
      <c r="V116" s="492" t="e">
        <f>$U$110 + IF($B$2="mil",1,0.0254)*DDR2Specs!$F$9</f>
        <v>#REF!</v>
      </c>
      <c r="W116" s="491" t="e">
        <f t="shared" si="67"/>
        <v>#REF!</v>
      </c>
      <c r="X116" s="492" t="e">
        <f t="shared" si="68"/>
        <v>#REF!</v>
      </c>
      <c r="Y116" s="490">
        <f t="shared" si="73"/>
        <v>5128.08</v>
      </c>
      <c r="Z116" s="479" t="e">
        <f t="shared" si="74"/>
        <v>#REF!</v>
      </c>
      <c r="AA116" s="469" t="e">
        <f>$AB$110 + IF($B$2="mil",1,0.0254)*DDR2Specs!$E$9</f>
        <v>#REF!</v>
      </c>
      <c r="AB116" s="469" t="e">
        <f>$AA$110 + IF($B$2="mil",1,0.0254)*DDR2Specs!$F$9</f>
        <v>#REF!</v>
      </c>
      <c r="AC116" s="491" t="e">
        <f t="shared" si="69"/>
        <v>#REF!</v>
      </c>
      <c r="AD116" s="492" t="e">
        <f t="shared" si="70"/>
        <v>#REF!</v>
      </c>
      <c r="AE116" s="2"/>
      <c r="AF116" s="2"/>
      <c r="AG116" s="2"/>
      <c r="AH116" s="2"/>
      <c r="AI116" s="2"/>
      <c r="AJ116" s="2"/>
      <c r="AK116" s="510" t="s">
        <v>90</v>
      </c>
      <c r="AL116" s="504" t="e">
        <f t="shared" si="75"/>
        <v>#REF!</v>
      </c>
      <c r="AM116" s="2"/>
      <c r="AN116" s="473" t="e">
        <f t="shared" ca="1" si="76"/>
        <v>#NAME?</v>
      </c>
      <c r="AO116" s="473" t="e">
        <f t="shared" ca="1" si="77"/>
        <v>#NAME?</v>
      </c>
      <c r="AP116" s="473" t="e">
        <f t="shared" si="78"/>
        <v>#REF!</v>
      </c>
      <c r="AQ116" s="504" t="e">
        <f t="shared" si="79"/>
        <v>#REF!</v>
      </c>
      <c r="AR116" s="473" t="e">
        <f t="shared" si="80"/>
        <v>#REF!</v>
      </c>
      <c r="AS116" s="474" t="e">
        <f t="shared" si="81"/>
        <v>#REF!</v>
      </c>
      <c r="AT116" s="4" t="e">
        <f t="shared" ca="1" si="82"/>
        <v>#REF!</v>
      </c>
      <c r="AU116" s="2"/>
    </row>
    <row r="117" spans="14:47" x14ac:dyDescent="0.2">
      <c r="N117" s="217" t="s">
        <v>91</v>
      </c>
      <c r="O117" s="217"/>
      <c r="P117">
        <v>673.29</v>
      </c>
      <c r="Q117">
        <v>136.13</v>
      </c>
      <c r="R117">
        <v>197.23</v>
      </c>
      <c r="S117" s="490">
        <f t="shared" si="71"/>
        <v>5059.99</v>
      </c>
      <c r="T117" s="479" t="e">
        <f t="shared" si="72"/>
        <v>#REF!</v>
      </c>
      <c r="U117" s="469" t="e">
        <f>$V$110 + IF($B$2="mil",1,0.0254)*DDR2Specs!$E$9</f>
        <v>#REF!</v>
      </c>
      <c r="V117" s="492" t="e">
        <f>$U$110 + IF($B$2="mil",1,0.0254)*DDR2Specs!$F$9</f>
        <v>#REF!</v>
      </c>
      <c r="W117" s="491" t="e">
        <f t="shared" si="67"/>
        <v>#REF!</v>
      </c>
      <c r="X117" s="492" t="e">
        <f t="shared" si="68"/>
        <v>#REF!</v>
      </c>
      <c r="Y117" s="490">
        <f t="shared" si="73"/>
        <v>5121.0899999999992</v>
      </c>
      <c r="Z117" s="479" t="e">
        <f t="shared" si="74"/>
        <v>#REF!</v>
      </c>
      <c r="AA117" s="469" t="e">
        <f>$AB$110 + IF($B$2="mil",1,0.0254)*DDR2Specs!$E$9</f>
        <v>#REF!</v>
      </c>
      <c r="AB117" s="469" t="e">
        <f>$AA$110 + IF($B$2="mil",1,0.0254)*DDR2Specs!$F$9</f>
        <v>#REF!</v>
      </c>
      <c r="AC117" s="491" t="e">
        <f t="shared" si="69"/>
        <v>#REF!</v>
      </c>
      <c r="AD117" s="492" t="e">
        <f t="shared" si="70"/>
        <v>#REF!</v>
      </c>
      <c r="AE117" s="2"/>
      <c r="AF117" s="2"/>
      <c r="AG117" s="2"/>
      <c r="AH117" s="2"/>
      <c r="AI117" s="2"/>
      <c r="AJ117" s="2"/>
      <c r="AK117" s="510" t="s">
        <v>91</v>
      </c>
      <c r="AL117" s="504" t="e">
        <f t="shared" si="75"/>
        <v>#REF!</v>
      </c>
      <c r="AM117" s="2"/>
      <c r="AN117" s="473" t="e">
        <f t="shared" ca="1" si="76"/>
        <v>#NAME?</v>
      </c>
      <c r="AO117" s="473" t="e">
        <f t="shared" ca="1" si="77"/>
        <v>#NAME?</v>
      </c>
      <c r="AP117" s="473" t="e">
        <f t="shared" si="78"/>
        <v>#REF!</v>
      </c>
      <c r="AQ117" s="504" t="e">
        <f t="shared" si="79"/>
        <v>#REF!</v>
      </c>
      <c r="AR117" s="473" t="e">
        <f t="shared" si="80"/>
        <v>#REF!</v>
      </c>
      <c r="AS117" s="474" t="e">
        <f t="shared" si="81"/>
        <v>#REF!</v>
      </c>
      <c r="AT117" s="4" t="e">
        <f t="shared" ca="1" si="82"/>
        <v>#REF!</v>
      </c>
      <c r="AU117" s="2"/>
    </row>
    <row r="118" spans="14:47" x14ac:dyDescent="0.2">
      <c r="N118" s="217" t="s">
        <v>92</v>
      </c>
      <c r="O118" s="217"/>
      <c r="P118">
        <v>679.71</v>
      </c>
      <c r="Q118">
        <v>135.09</v>
      </c>
      <c r="R118">
        <v>164.7</v>
      </c>
      <c r="S118" s="490">
        <f t="shared" si="71"/>
        <v>4977.82</v>
      </c>
      <c r="T118" s="479" t="e">
        <f t="shared" si="72"/>
        <v>#REF!</v>
      </c>
      <c r="U118" s="469" t="e">
        <f>$V$110 + IF($B$2="mil",1,0.0254)*DDR2Specs!$E$9</f>
        <v>#REF!</v>
      </c>
      <c r="V118" s="492" t="e">
        <f>$U$110 + IF($B$2="mil",1,0.0254)*DDR2Specs!$F$9</f>
        <v>#REF!</v>
      </c>
      <c r="W118" s="491" t="e">
        <f t="shared" si="67"/>
        <v>#REF!</v>
      </c>
      <c r="X118" s="492" t="e">
        <f t="shared" si="68"/>
        <v>#REF!</v>
      </c>
      <c r="Y118" s="490">
        <f t="shared" si="73"/>
        <v>5007.4299999999994</v>
      </c>
      <c r="Z118" s="479" t="e">
        <f t="shared" si="74"/>
        <v>#REF!</v>
      </c>
      <c r="AA118" s="469" t="e">
        <f>$AB$110 + IF($B$2="mil",1,0.0254)*DDR2Specs!$E$9</f>
        <v>#REF!</v>
      </c>
      <c r="AB118" s="469" t="e">
        <f>$AA$110 + IF($B$2="mil",1,0.0254)*DDR2Specs!$F$9</f>
        <v>#REF!</v>
      </c>
      <c r="AC118" s="491" t="e">
        <f t="shared" si="69"/>
        <v>#REF!</v>
      </c>
      <c r="AD118" s="492" t="e">
        <f t="shared" si="70"/>
        <v>#REF!</v>
      </c>
      <c r="AE118" s="2"/>
      <c r="AF118" s="2"/>
      <c r="AG118" s="2"/>
      <c r="AH118" s="2"/>
      <c r="AI118" s="2"/>
      <c r="AJ118" s="2"/>
      <c r="AK118" s="510" t="s">
        <v>92</v>
      </c>
      <c r="AL118" s="504" t="e">
        <f t="shared" si="75"/>
        <v>#REF!</v>
      </c>
      <c r="AM118" s="2"/>
      <c r="AN118" s="473" t="e">
        <f t="shared" ca="1" si="76"/>
        <v>#NAME?</v>
      </c>
      <c r="AO118" s="473" t="e">
        <f t="shared" ca="1" si="77"/>
        <v>#NAME?</v>
      </c>
      <c r="AP118" s="473" t="e">
        <f t="shared" si="78"/>
        <v>#REF!</v>
      </c>
      <c r="AQ118" s="504" t="e">
        <f t="shared" si="79"/>
        <v>#REF!</v>
      </c>
      <c r="AR118" s="473" t="e">
        <f t="shared" si="80"/>
        <v>#REF!</v>
      </c>
      <c r="AS118" s="474" t="e">
        <f t="shared" si="81"/>
        <v>#REF!</v>
      </c>
      <c r="AT118" s="4" t="e">
        <f t="shared" ca="1" si="82"/>
        <v>#REF!</v>
      </c>
      <c r="AU118" s="2"/>
    </row>
    <row r="119" spans="14:47" x14ac:dyDescent="0.2">
      <c r="N119" s="217" t="s">
        <v>94</v>
      </c>
      <c r="O119" s="217"/>
      <c r="P119">
        <v>648.42999999999995</v>
      </c>
      <c r="Q119">
        <v>256.72000000000003</v>
      </c>
      <c r="R119">
        <v>318.58</v>
      </c>
      <c r="S119" s="490">
        <f t="shared" si="71"/>
        <v>4879.41</v>
      </c>
      <c r="T119" s="479" t="e">
        <f t="shared" si="72"/>
        <v>#REF!</v>
      </c>
      <c r="U119" s="469" t="e">
        <f>$V$110 + IF($B$2="mil",1,0.0254)*DDR2Specs!$E$9</f>
        <v>#REF!</v>
      </c>
      <c r="V119" s="492" t="e">
        <f>$U$110 + IF($B$2="mil",1,0.0254)*DDR2Specs!$F$9</f>
        <v>#REF!</v>
      </c>
      <c r="W119" s="491" t="e">
        <f t="shared" si="67"/>
        <v>#REF!</v>
      </c>
      <c r="X119" s="492" t="e">
        <f t="shared" si="68"/>
        <v>#REF!</v>
      </c>
      <c r="Y119" s="490">
        <f t="shared" si="73"/>
        <v>4941.2699999999995</v>
      </c>
      <c r="Z119" s="479" t="e">
        <f t="shared" si="74"/>
        <v>#REF!</v>
      </c>
      <c r="AA119" s="469" t="e">
        <f>$AB$110 + IF($B$2="mil",1,0.0254)*DDR2Specs!$E$9</f>
        <v>#REF!</v>
      </c>
      <c r="AB119" s="469" t="e">
        <f>$AA$110 + IF($B$2="mil",1,0.0254)*DDR2Specs!$F$9</f>
        <v>#REF!</v>
      </c>
      <c r="AC119" s="491" t="e">
        <f t="shared" si="69"/>
        <v>#REF!</v>
      </c>
      <c r="AD119" s="492" t="e">
        <f t="shared" si="70"/>
        <v>#REF!</v>
      </c>
      <c r="AE119" s="2"/>
      <c r="AF119" s="2"/>
      <c r="AG119" s="2"/>
      <c r="AH119" s="2"/>
      <c r="AI119" s="2"/>
      <c r="AJ119" s="2"/>
      <c r="AK119" s="510" t="s">
        <v>94</v>
      </c>
      <c r="AL119" s="504" t="e">
        <f t="shared" si="75"/>
        <v>#REF!</v>
      </c>
      <c r="AM119" s="2"/>
      <c r="AN119" s="473" t="e">
        <f t="shared" ca="1" si="76"/>
        <v>#NAME?</v>
      </c>
      <c r="AO119" s="473" t="e">
        <f t="shared" ca="1" si="77"/>
        <v>#NAME?</v>
      </c>
      <c r="AP119" s="473" t="e">
        <f t="shared" si="78"/>
        <v>#REF!</v>
      </c>
      <c r="AQ119" s="504" t="e">
        <f t="shared" si="79"/>
        <v>#REF!</v>
      </c>
      <c r="AR119" s="473" t="e">
        <f t="shared" si="80"/>
        <v>#REF!</v>
      </c>
      <c r="AS119" s="474" t="e">
        <f t="shared" si="81"/>
        <v>#REF!</v>
      </c>
      <c r="AT119" s="4" t="e">
        <f t="shared" ca="1" si="82"/>
        <v>#REF!</v>
      </c>
      <c r="AU119" s="2"/>
    </row>
    <row r="120" spans="14:47" x14ac:dyDescent="0.2">
      <c r="N120" s="217" t="s">
        <v>95</v>
      </c>
      <c r="O120" s="217"/>
      <c r="P120">
        <v>644.08000000000004</v>
      </c>
      <c r="Q120">
        <v>255.28</v>
      </c>
      <c r="R120">
        <v>284.73</v>
      </c>
      <c r="S120" s="490">
        <f t="shared" si="71"/>
        <v>4853.9199999999992</v>
      </c>
      <c r="T120" s="479" t="e">
        <f t="shared" si="72"/>
        <v>#REF!</v>
      </c>
      <c r="U120" s="469" t="e">
        <f>$V$110 + IF($B$2="mil",1,0.0254)*DDR2Specs!$E$9</f>
        <v>#REF!</v>
      </c>
      <c r="V120" s="492" t="e">
        <f>$U$110 + IF($B$2="mil",1,0.0254)*DDR2Specs!$F$9</f>
        <v>#REF!</v>
      </c>
      <c r="W120" s="491" t="e">
        <f t="shared" si="67"/>
        <v>#REF!</v>
      </c>
      <c r="X120" s="492" t="e">
        <f t="shared" si="68"/>
        <v>#REF!</v>
      </c>
      <c r="Y120" s="490">
        <f t="shared" si="73"/>
        <v>4883.369999999999</v>
      </c>
      <c r="Z120" s="479" t="e">
        <f t="shared" si="74"/>
        <v>#REF!</v>
      </c>
      <c r="AA120" s="469" t="e">
        <f>$AB$110 + IF($B$2="mil",1,0.0254)*DDR2Specs!$E$9</f>
        <v>#REF!</v>
      </c>
      <c r="AB120" s="469" t="e">
        <f>$AA$110 + IF($B$2="mil",1,0.0254)*DDR2Specs!$F$9</f>
        <v>#REF!</v>
      </c>
      <c r="AC120" s="491" t="e">
        <f t="shared" si="69"/>
        <v>#REF!</v>
      </c>
      <c r="AD120" s="492" t="e">
        <f t="shared" si="70"/>
        <v>#REF!</v>
      </c>
      <c r="AE120" s="2"/>
      <c r="AF120" s="2"/>
      <c r="AG120" s="2"/>
      <c r="AH120" s="2"/>
      <c r="AI120" s="2"/>
      <c r="AJ120" s="2"/>
      <c r="AK120" s="510" t="s">
        <v>95</v>
      </c>
      <c r="AL120" s="504" t="e">
        <f t="shared" si="75"/>
        <v>#REF!</v>
      </c>
      <c r="AM120" s="2"/>
      <c r="AN120" s="473" t="e">
        <f t="shared" ca="1" si="76"/>
        <v>#NAME?</v>
      </c>
      <c r="AO120" s="473" t="e">
        <f t="shared" ca="1" si="77"/>
        <v>#NAME?</v>
      </c>
      <c r="AP120" s="473" t="e">
        <f t="shared" si="78"/>
        <v>#REF!</v>
      </c>
      <c r="AQ120" s="504" t="e">
        <f t="shared" si="79"/>
        <v>#REF!</v>
      </c>
      <c r="AR120" s="473" t="e">
        <f t="shared" si="80"/>
        <v>#REF!</v>
      </c>
      <c r="AS120" s="474" t="e">
        <f t="shared" si="81"/>
        <v>#REF!</v>
      </c>
      <c r="AT120" s="4" t="e">
        <f t="shared" ca="1" si="82"/>
        <v>#REF!</v>
      </c>
      <c r="AU120" s="2"/>
    </row>
    <row r="121" spans="14:47" x14ac:dyDescent="0.2">
      <c r="N121" s="217" t="s">
        <v>96</v>
      </c>
      <c r="O121" s="217"/>
      <c r="P121">
        <v>655.05999999999995</v>
      </c>
      <c r="Q121">
        <v>159.25</v>
      </c>
      <c r="R121">
        <v>221.46</v>
      </c>
      <c r="S121" s="490">
        <f t="shared" si="71"/>
        <v>4914.1900000000005</v>
      </c>
      <c r="T121" s="479" t="e">
        <f t="shared" si="72"/>
        <v>#REF!</v>
      </c>
      <c r="U121" s="469" t="e">
        <f>$V$110 + IF($B$2="mil",1,0.0254)*DDR2Specs!$E$9</f>
        <v>#REF!</v>
      </c>
      <c r="V121" s="492" t="e">
        <f>$U$110 + IF($B$2="mil",1,0.0254)*DDR2Specs!$F$9</f>
        <v>#REF!</v>
      </c>
      <c r="W121" s="491" t="e">
        <f t="shared" si="67"/>
        <v>#REF!</v>
      </c>
      <c r="X121" s="492" t="e">
        <f t="shared" si="68"/>
        <v>#REF!</v>
      </c>
      <c r="Y121" s="490">
        <f t="shared" si="73"/>
        <v>4976.4000000000005</v>
      </c>
      <c r="Z121" s="479" t="e">
        <f t="shared" si="74"/>
        <v>#REF!</v>
      </c>
      <c r="AA121" s="469" t="e">
        <f>$AB$110 + IF($B$2="mil",1,0.0254)*DDR2Specs!$E$9</f>
        <v>#REF!</v>
      </c>
      <c r="AB121" s="469" t="e">
        <f>$AA$110 + IF($B$2="mil",1,0.0254)*DDR2Specs!$F$9</f>
        <v>#REF!</v>
      </c>
      <c r="AC121" s="491" t="e">
        <f t="shared" si="69"/>
        <v>#REF!</v>
      </c>
      <c r="AD121" s="492" t="e">
        <f t="shared" si="70"/>
        <v>#REF!</v>
      </c>
      <c r="AE121" s="2"/>
      <c r="AF121" s="2"/>
      <c r="AG121" s="2"/>
      <c r="AH121" s="2"/>
      <c r="AI121" s="2"/>
      <c r="AJ121" s="2"/>
      <c r="AK121" s="510" t="s">
        <v>96</v>
      </c>
      <c r="AL121" s="504" t="e">
        <f t="shared" si="75"/>
        <v>#REF!</v>
      </c>
      <c r="AM121" s="2"/>
      <c r="AN121" s="473" t="e">
        <f t="shared" ca="1" si="76"/>
        <v>#NAME?</v>
      </c>
      <c r="AO121" s="473" t="e">
        <f t="shared" ca="1" si="77"/>
        <v>#NAME?</v>
      </c>
      <c r="AP121" s="473" t="e">
        <f t="shared" si="78"/>
        <v>#REF!</v>
      </c>
      <c r="AQ121" s="504" t="e">
        <f t="shared" si="79"/>
        <v>#REF!</v>
      </c>
      <c r="AR121" s="473" t="e">
        <f t="shared" si="80"/>
        <v>#REF!</v>
      </c>
      <c r="AS121" s="474" t="e">
        <f t="shared" si="81"/>
        <v>#REF!</v>
      </c>
      <c r="AT121" s="4" t="e">
        <f t="shared" ca="1" si="82"/>
        <v>#REF!</v>
      </c>
      <c r="AU121" s="2"/>
    </row>
    <row r="122" spans="14:47" x14ac:dyDescent="0.2">
      <c r="N122" s="217" t="s">
        <v>98</v>
      </c>
      <c r="O122" s="217"/>
      <c r="P122">
        <v>691.51</v>
      </c>
      <c r="Q122">
        <v>151.81</v>
      </c>
      <c r="R122">
        <v>210.57</v>
      </c>
      <c r="S122" s="490">
        <f t="shared" si="71"/>
        <v>5069.8900000000003</v>
      </c>
      <c r="T122" s="479" t="e">
        <f t="shared" si="72"/>
        <v>#REF!</v>
      </c>
      <c r="U122" s="469" t="e">
        <f>$V$110 + IF($B$2="mil",1,0.0254)*DDR2Specs!$E$9</f>
        <v>#REF!</v>
      </c>
      <c r="V122" s="492" t="e">
        <f>$U$110 + IF($B$2="mil",1,0.0254)*DDR2Specs!$F$9</f>
        <v>#REF!</v>
      </c>
      <c r="W122" s="491" t="e">
        <f t="shared" si="67"/>
        <v>#REF!</v>
      </c>
      <c r="X122" s="492" t="e">
        <f t="shared" si="68"/>
        <v>#REF!</v>
      </c>
      <c r="Y122" s="490">
        <f t="shared" si="73"/>
        <v>5128.6499999999996</v>
      </c>
      <c r="Z122" s="479" t="e">
        <f t="shared" si="74"/>
        <v>#REF!</v>
      </c>
      <c r="AA122" s="469" t="e">
        <f>$AB$110 + IF($B$2="mil",1,0.0254)*DDR2Specs!$E$9</f>
        <v>#REF!</v>
      </c>
      <c r="AB122" s="469" t="e">
        <f>$AA$110 + IF($B$2="mil",1,0.0254)*DDR2Specs!$F$9</f>
        <v>#REF!</v>
      </c>
      <c r="AC122" s="491" t="e">
        <f t="shared" si="69"/>
        <v>#REF!</v>
      </c>
      <c r="AD122" s="492" t="e">
        <f t="shared" si="70"/>
        <v>#REF!</v>
      </c>
      <c r="AE122" s="2"/>
      <c r="AF122" s="2"/>
      <c r="AG122" s="2"/>
      <c r="AH122" s="2"/>
      <c r="AI122" s="2"/>
      <c r="AJ122" s="2"/>
      <c r="AK122" s="510" t="s">
        <v>98</v>
      </c>
      <c r="AL122" s="504" t="e">
        <f t="shared" si="75"/>
        <v>#REF!</v>
      </c>
      <c r="AM122" s="2"/>
      <c r="AN122" s="473" t="e">
        <f t="shared" ca="1" si="76"/>
        <v>#NAME?</v>
      </c>
      <c r="AO122" s="473" t="e">
        <f t="shared" ca="1" si="77"/>
        <v>#NAME?</v>
      </c>
      <c r="AP122" s="473" t="e">
        <f t="shared" si="78"/>
        <v>#REF!</v>
      </c>
      <c r="AQ122" s="504" t="e">
        <f t="shared" si="79"/>
        <v>#REF!</v>
      </c>
      <c r="AR122" s="473" t="e">
        <f t="shared" si="80"/>
        <v>#REF!</v>
      </c>
      <c r="AS122" s="474" t="e">
        <f t="shared" si="81"/>
        <v>#REF!</v>
      </c>
      <c r="AT122" s="4" t="e">
        <f t="shared" ca="1" si="82"/>
        <v>#REF!</v>
      </c>
      <c r="AU122" s="2"/>
    </row>
    <row r="123" spans="14:47" x14ac:dyDescent="0.2">
      <c r="N123" s="217" t="s">
        <v>99</v>
      </c>
      <c r="O123" s="217"/>
      <c r="P123">
        <v>660.03</v>
      </c>
      <c r="Q123">
        <v>157.78</v>
      </c>
      <c r="R123">
        <v>181.23</v>
      </c>
      <c r="S123" s="490">
        <f t="shared" si="71"/>
        <v>4849.2699999999995</v>
      </c>
      <c r="T123" s="479" t="e">
        <f t="shared" si="72"/>
        <v>#REF!</v>
      </c>
      <c r="U123" s="469" t="e">
        <f>$V$110 + IF($B$2="mil",1,0.0254)*DDR2Specs!$E$9</f>
        <v>#REF!</v>
      </c>
      <c r="V123" s="492" t="e">
        <f>$U$110 + IF($B$2="mil",1,0.0254)*DDR2Specs!$F$9</f>
        <v>#REF!</v>
      </c>
      <c r="W123" s="491" t="e">
        <f t="shared" si="67"/>
        <v>#REF!</v>
      </c>
      <c r="X123" s="492" t="e">
        <f t="shared" si="68"/>
        <v>#REF!</v>
      </c>
      <c r="Y123" s="490">
        <f t="shared" si="73"/>
        <v>4872.7199999999993</v>
      </c>
      <c r="Z123" s="479" t="e">
        <f t="shared" si="74"/>
        <v>#REF!</v>
      </c>
      <c r="AA123" s="469" t="e">
        <f>$AB$110 + IF($B$2="mil",1,0.0254)*DDR2Specs!$E$9</f>
        <v>#REF!</v>
      </c>
      <c r="AB123" s="469" t="e">
        <f>$AA$110 + IF($B$2="mil",1,0.0254)*DDR2Specs!$F$9</f>
        <v>#REF!</v>
      </c>
      <c r="AC123" s="491" t="e">
        <f t="shared" si="69"/>
        <v>#REF!</v>
      </c>
      <c r="AD123" s="492" t="e">
        <f t="shared" si="70"/>
        <v>#REF!</v>
      </c>
      <c r="AE123" s="2"/>
      <c r="AF123" s="2"/>
      <c r="AG123" s="2"/>
      <c r="AH123" s="2"/>
      <c r="AI123" s="2"/>
      <c r="AJ123" s="2"/>
      <c r="AK123" s="510" t="s">
        <v>99</v>
      </c>
      <c r="AL123" s="504" t="e">
        <f t="shared" si="75"/>
        <v>#REF!</v>
      </c>
      <c r="AM123" s="2"/>
      <c r="AN123" s="473" t="e">
        <f t="shared" ca="1" si="76"/>
        <v>#NAME?</v>
      </c>
      <c r="AO123" s="473" t="e">
        <f t="shared" ca="1" si="77"/>
        <v>#NAME?</v>
      </c>
      <c r="AP123" s="473" t="e">
        <f t="shared" si="78"/>
        <v>#REF!</v>
      </c>
      <c r="AQ123" s="504" t="e">
        <f t="shared" si="79"/>
        <v>#REF!</v>
      </c>
      <c r="AR123" s="473" t="e">
        <f t="shared" si="80"/>
        <v>#REF!</v>
      </c>
      <c r="AS123" s="474" t="e">
        <f t="shared" si="81"/>
        <v>#REF!</v>
      </c>
      <c r="AT123" s="4" t="e">
        <f t="shared" ca="1" si="82"/>
        <v>#REF!</v>
      </c>
      <c r="AU123" s="2"/>
    </row>
    <row r="124" spans="14:47" x14ac:dyDescent="0.2">
      <c r="N124" s="217" t="s">
        <v>100</v>
      </c>
      <c r="O124" s="217"/>
      <c r="P124">
        <v>649.14</v>
      </c>
      <c r="Q124">
        <v>170.19</v>
      </c>
      <c r="R124">
        <v>237.45</v>
      </c>
      <c r="S124" s="490">
        <f t="shared" si="71"/>
        <v>5249.13</v>
      </c>
      <c r="T124" s="479" t="e">
        <f t="shared" si="72"/>
        <v>#REF!</v>
      </c>
      <c r="U124" s="469" t="e">
        <f>$V$110 + IF($B$2="mil",1,0.0254)*DDR2Specs!$E$9</f>
        <v>#REF!</v>
      </c>
      <c r="V124" s="492" t="e">
        <f>$U$110 + IF($B$2="mil",1,0.0254)*DDR2Specs!$F$9</f>
        <v>#REF!</v>
      </c>
      <c r="W124" s="491" t="e">
        <f t="shared" si="67"/>
        <v>#REF!</v>
      </c>
      <c r="X124" s="492" t="e">
        <f t="shared" si="68"/>
        <v>#REF!</v>
      </c>
      <c r="Y124" s="490">
        <f t="shared" si="73"/>
        <v>5316.39</v>
      </c>
      <c r="Z124" s="479" t="e">
        <f t="shared" si="74"/>
        <v>#REF!</v>
      </c>
      <c r="AA124" s="469" t="e">
        <f>$AB$110 + IF($B$2="mil",1,0.0254)*DDR2Specs!$E$9</f>
        <v>#REF!</v>
      </c>
      <c r="AB124" s="469" t="e">
        <f>$AA$110 + IF($B$2="mil",1,0.0254)*DDR2Specs!$F$9</f>
        <v>#REF!</v>
      </c>
      <c r="AC124" s="491" t="e">
        <f t="shared" si="69"/>
        <v>#REF!</v>
      </c>
      <c r="AD124" s="492" t="e">
        <f t="shared" si="70"/>
        <v>#REF!</v>
      </c>
      <c r="AE124" s="2"/>
      <c r="AF124" s="2"/>
      <c r="AG124" s="2"/>
      <c r="AH124" s="2"/>
      <c r="AI124" s="2"/>
      <c r="AJ124" s="2"/>
      <c r="AK124" s="510" t="s">
        <v>100</v>
      </c>
      <c r="AL124" s="504" t="e">
        <f t="shared" si="75"/>
        <v>#REF!</v>
      </c>
      <c r="AM124" s="2"/>
      <c r="AN124" s="473" t="e">
        <f t="shared" ca="1" si="76"/>
        <v>#NAME?</v>
      </c>
      <c r="AO124" s="473" t="e">
        <f t="shared" ca="1" si="77"/>
        <v>#NAME?</v>
      </c>
      <c r="AP124" s="473" t="e">
        <f t="shared" si="78"/>
        <v>#REF!</v>
      </c>
      <c r="AQ124" s="504" t="e">
        <f t="shared" si="79"/>
        <v>#REF!</v>
      </c>
      <c r="AR124" s="473" t="e">
        <f t="shared" si="80"/>
        <v>#REF!</v>
      </c>
      <c r="AS124" s="474" t="e">
        <f t="shared" si="81"/>
        <v>#REF!</v>
      </c>
      <c r="AT124" s="4" t="e">
        <f t="shared" ca="1" si="82"/>
        <v>#REF!</v>
      </c>
      <c r="AU124" s="2"/>
    </row>
    <row r="125" spans="14:47" x14ac:dyDescent="0.2">
      <c r="N125" s="217" t="s">
        <v>101</v>
      </c>
      <c r="O125" s="217"/>
      <c r="P125">
        <v>643.25</v>
      </c>
      <c r="Q125">
        <v>169.13</v>
      </c>
      <c r="R125">
        <v>198.17</v>
      </c>
      <c r="S125" s="490">
        <f t="shared" si="71"/>
        <v>4919.7700000000004</v>
      </c>
      <c r="T125" s="479" t="e">
        <f t="shared" si="72"/>
        <v>#REF!</v>
      </c>
      <c r="U125" s="469" t="e">
        <f>$V$110 + IF($B$2="mil",1,0.0254)*DDR2Specs!$E$9</f>
        <v>#REF!</v>
      </c>
      <c r="V125" s="492" t="e">
        <f>$U$110 + IF($B$2="mil",1,0.0254)*DDR2Specs!$F$9</f>
        <v>#REF!</v>
      </c>
      <c r="W125" s="491" t="e">
        <f t="shared" si="67"/>
        <v>#REF!</v>
      </c>
      <c r="X125" s="492" t="e">
        <f t="shared" si="68"/>
        <v>#REF!</v>
      </c>
      <c r="Y125" s="490">
        <f t="shared" si="73"/>
        <v>4948.8100000000004</v>
      </c>
      <c r="Z125" s="479" t="e">
        <f t="shared" si="74"/>
        <v>#REF!</v>
      </c>
      <c r="AA125" s="469" t="e">
        <f>$AB$110 + IF($B$2="mil",1,0.0254)*DDR2Specs!$E$9</f>
        <v>#REF!</v>
      </c>
      <c r="AB125" s="469" t="e">
        <f>$AA$110 + IF($B$2="mil",1,0.0254)*DDR2Specs!$F$9</f>
        <v>#REF!</v>
      </c>
      <c r="AC125" s="491" t="e">
        <f t="shared" si="69"/>
        <v>#REF!</v>
      </c>
      <c r="AD125" s="492" t="e">
        <f t="shared" si="70"/>
        <v>#REF!</v>
      </c>
      <c r="AE125" s="2"/>
      <c r="AF125" s="2"/>
      <c r="AG125" s="2"/>
      <c r="AH125" s="2"/>
      <c r="AI125" s="2"/>
      <c r="AJ125" s="2"/>
      <c r="AK125" s="510" t="s">
        <v>101</v>
      </c>
      <c r="AL125" s="504" t="e">
        <f t="shared" si="75"/>
        <v>#REF!</v>
      </c>
      <c r="AM125" s="2"/>
      <c r="AN125" s="473" t="e">
        <f t="shared" ca="1" si="76"/>
        <v>#NAME?</v>
      </c>
      <c r="AO125" s="473" t="e">
        <f t="shared" ca="1" si="77"/>
        <v>#NAME?</v>
      </c>
      <c r="AP125" s="473" t="e">
        <f t="shared" si="78"/>
        <v>#REF!</v>
      </c>
      <c r="AQ125" s="504" t="e">
        <f t="shared" si="79"/>
        <v>#REF!</v>
      </c>
      <c r="AR125" s="473" t="e">
        <f t="shared" si="80"/>
        <v>#REF!</v>
      </c>
      <c r="AS125" s="474" t="e">
        <f t="shared" si="81"/>
        <v>#REF!</v>
      </c>
      <c r="AT125" s="4" t="e">
        <f t="shared" ca="1" si="82"/>
        <v>#REF!</v>
      </c>
      <c r="AU125" s="2"/>
    </row>
    <row r="126" spans="14:47" x14ac:dyDescent="0.2">
      <c r="N126" s="180" t="s">
        <v>278</v>
      </c>
      <c r="O126" s="180"/>
      <c r="P126" s="298"/>
      <c r="Q126" s="298"/>
      <c r="R126" s="298"/>
      <c r="S126" s="182"/>
      <c r="T126" s="182"/>
      <c r="U126" s="182"/>
      <c r="V126" s="515"/>
      <c r="W126" s="385"/>
      <c r="X126" s="385"/>
      <c r="Y126" s="182"/>
      <c r="Z126" s="182"/>
      <c r="AA126" s="182"/>
      <c r="AB126" s="182"/>
      <c r="AC126" s="385"/>
      <c r="AD126" s="385"/>
      <c r="AE126" s="2"/>
      <c r="AF126" s="2"/>
      <c r="AG126" s="2"/>
      <c r="AH126" s="2"/>
      <c r="AI126" s="2"/>
      <c r="AJ126" s="2"/>
      <c r="AK126" s="134" t="s">
        <v>278</v>
      </c>
      <c r="AL126" s="244"/>
      <c r="AM126" s="2"/>
      <c r="AN126" s="155"/>
      <c r="AO126" s="155"/>
      <c r="AP126" s="155"/>
      <c r="AQ126" s="506"/>
      <c r="AR126" s="155"/>
      <c r="AS126" s="506"/>
      <c r="AT126" s="2"/>
      <c r="AU126" s="2"/>
    </row>
    <row r="127" spans="14:47" x14ac:dyDescent="0.2">
      <c r="N127" s="162" t="s">
        <v>102</v>
      </c>
      <c r="O127" s="162"/>
      <c r="P127">
        <v>701.73</v>
      </c>
      <c r="Q127" s="551">
        <v>98.19</v>
      </c>
      <c r="R127" s="551">
        <v>147.97999999999999</v>
      </c>
      <c r="S127" s="490">
        <f t="shared" si="71"/>
        <v>5005.2800000000007</v>
      </c>
      <c r="T127" s="479" t="e">
        <f t="shared" si="72"/>
        <v>#REF!</v>
      </c>
      <c r="U127" s="469" t="e">
        <f>$V$110 + IF($B$2="mil",1,0.0254)*DDR2Specs!$E$9</f>
        <v>#REF!</v>
      </c>
      <c r="V127" s="492" t="e">
        <f>$U$110 + IF($B$2="mil",1,0.0254)*DDR2Specs!$F$9</f>
        <v>#REF!</v>
      </c>
      <c r="W127" s="491" t="e">
        <f>IF($T127&lt;$U127,$U127-$T127,"Pass")</f>
        <v>#REF!</v>
      </c>
      <c r="X127" s="492" t="e">
        <f>IF($T127&gt;$V127,$T127-$V127,"Pass")</f>
        <v>#REF!</v>
      </c>
      <c r="Y127" s="490">
        <f t="shared" si="73"/>
        <v>5055.0700000000006</v>
      </c>
      <c r="Z127" s="479" t="e">
        <f t="shared" si="74"/>
        <v>#REF!</v>
      </c>
      <c r="AA127" s="469" t="e">
        <f>$AB$110 + IF($B$2="mil",1,0.0254)*DDR2Specs!$E$9</f>
        <v>#REF!</v>
      </c>
      <c r="AB127" s="469" t="e">
        <f>$AA$110 + IF($B$2="mil",1,0.0254)*DDR2Specs!$F$9</f>
        <v>#REF!</v>
      </c>
      <c r="AC127" s="491" t="e">
        <f>IF($Z127&lt;$AA127,$AA127-$Z127,"Pass")</f>
        <v>#REF!</v>
      </c>
      <c r="AD127" s="492" t="e">
        <f>IF($Z127&gt;$AB127,$Z127-$AB127,"Pass")</f>
        <v>#REF!</v>
      </c>
      <c r="AE127" s="2"/>
      <c r="AF127" s="2"/>
      <c r="AG127" s="2"/>
      <c r="AH127" s="2"/>
      <c r="AI127" s="2"/>
      <c r="AJ127" s="2"/>
      <c r="AK127" s="509" t="s">
        <v>102</v>
      </c>
      <c r="AL127" s="504" t="e">
        <f>IF(P127&lt;=IF($B$2="mil",1,0.0254)*1000,"Pass",IF($B$2="mil",1,0.0254)*1000-P127)</f>
        <v>#REF!</v>
      </c>
      <c r="AM127" s="2"/>
      <c r="AN127" s="473" t="e">
        <f ca="1">CheckLength2(IF($B$2="mil",1,0.0254)*1200,P127,Q127,0)</f>
        <v>#NAME?</v>
      </c>
      <c r="AO127" s="473" t="e">
        <f ca="1">CheckLength2(IF($B$2="mil",1,0.0254)*1200,P127,R127,0)</f>
        <v>#NAME?</v>
      </c>
      <c r="AP127" s="473" t="e">
        <f>IF(AND(S127&gt;=IF($B$2="mil",1,0.0254)*500, $S127&lt;=IF($B$2="mil",1,0.0254)*6500),"Pass",IF($B$2="mil",1,0.0254)*6500-$S127)</f>
        <v>#REF!</v>
      </c>
      <c r="AQ127" s="504" t="e">
        <f>IF(AND($T127&gt;=IF($B$2="mil",1,0.0254)*500, $T127&lt;=IF($B$2="mil",1,0.0254)*7000),"Pass",IF($B$2="mil",1,0.0254)*7000-$T127)</f>
        <v>#REF!</v>
      </c>
      <c r="AR127" s="473" t="e">
        <f>IF(AND($Y127&gt;=IF($B$2="mil",1,0.0254)*500, $Y127&lt;=IF($B$2="mil",1,0.0254)*6500),"Pass",IF($B$2="mil",1,0.0254)*6500-$Y127)</f>
        <v>#REF!</v>
      </c>
      <c r="AS127" s="474" t="e">
        <f>IF(AND($Z127&gt;=IF($B$2="mil",1,0.0254)*500, $Z127&lt;=IF($B$2="mil",1,0.0254)*7000),"Pass",IF($B$2="mil",1,0.0254)*7000-$Z127)</f>
        <v>#REF!</v>
      </c>
      <c r="AT127" s="4" t="e">
        <f t="shared" ca="1" si="82"/>
        <v>#REF!</v>
      </c>
      <c r="AU127" s="2"/>
    </row>
    <row r="128" spans="14:47" x14ac:dyDescent="0.2">
      <c r="N128" s="216" t="s">
        <v>103</v>
      </c>
      <c r="O128" s="216"/>
      <c r="P128">
        <v>687.99</v>
      </c>
      <c r="Q128" s="551">
        <v>70.63</v>
      </c>
      <c r="R128" s="551">
        <v>139.15</v>
      </c>
      <c r="S128" s="490">
        <f t="shared" si="71"/>
        <v>5072.0800000000008</v>
      </c>
      <c r="T128" s="479" t="e">
        <f t="shared" si="72"/>
        <v>#REF!</v>
      </c>
      <c r="U128" s="469" t="e">
        <f>$V$110 + IF($B$2="mil",1,0.0254)*DDR2Specs!$E$9</f>
        <v>#REF!</v>
      </c>
      <c r="V128" s="492" t="e">
        <f>$U$110 + IF($B$2="mil",1,0.0254)*DDR2Specs!$F$9</f>
        <v>#REF!</v>
      </c>
      <c r="W128" s="491" t="e">
        <f>IF($T128&lt;$U128,$U128-$T128,"Pass")</f>
        <v>#REF!</v>
      </c>
      <c r="X128" s="492" t="e">
        <f>IF($T128&gt;$V128,$T128-$V128,"Pass")</f>
        <v>#REF!</v>
      </c>
      <c r="Y128" s="490">
        <f t="shared" si="73"/>
        <v>5140.6000000000004</v>
      </c>
      <c r="Z128" s="479" t="e">
        <f t="shared" si="74"/>
        <v>#REF!</v>
      </c>
      <c r="AA128" s="469" t="e">
        <f>$AB$110 + IF($B$2="mil",1,0.0254)*DDR2Specs!$E$9</f>
        <v>#REF!</v>
      </c>
      <c r="AB128" s="469" t="e">
        <f>$AA$110 + IF($B$2="mil",1,0.0254)*DDR2Specs!$F$9</f>
        <v>#REF!</v>
      </c>
      <c r="AC128" s="491" t="e">
        <f>IF($Z128&lt;$AA128,$AA128-$Z128,"Pass")</f>
        <v>#REF!</v>
      </c>
      <c r="AD128" s="492" t="e">
        <f>IF($Z128&gt;$AB128,$Z128-$AB128,"Pass")</f>
        <v>#REF!</v>
      </c>
      <c r="AE128" s="2"/>
      <c r="AF128" s="2"/>
      <c r="AG128" s="2"/>
      <c r="AH128" s="2"/>
      <c r="AI128" s="2"/>
      <c r="AJ128" s="2"/>
      <c r="AK128" s="511" t="s">
        <v>103</v>
      </c>
      <c r="AL128" s="504" t="e">
        <f>IF(P128&lt;=IF($B$2="mil",1,0.0254)*1000,"Pass",IF($B$2="mil",1,0.0254)*1000-P128)</f>
        <v>#REF!</v>
      </c>
      <c r="AM128" s="2"/>
      <c r="AN128" s="473" t="e">
        <f ca="1">CheckLength2(IF($B$2="mil",1,0.0254)*1200,P128,Q128,0)</f>
        <v>#NAME?</v>
      </c>
      <c r="AO128" s="473" t="e">
        <f ca="1">CheckLength2(IF($B$2="mil",1,0.0254)*1200,P128,R128,0)</f>
        <v>#NAME?</v>
      </c>
      <c r="AP128" s="473" t="e">
        <f>IF(AND(S128&gt;=IF($B$2="mil",1,0.0254)*500, $S128&lt;=IF($B$2="mil",1,0.0254)*6500),"Pass",IF($B$2="mil",1,0.0254)*6500-$S128)</f>
        <v>#REF!</v>
      </c>
      <c r="AQ128" s="504" t="e">
        <f>IF(AND($T128&gt;=IF($B$2="mil",1,0.0254)*500, $T128&lt;=IF($B$2="mil",1,0.0254)*7000),"Pass",IF($B$2="mil",1,0.0254)*7000-$T128)</f>
        <v>#REF!</v>
      </c>
      <c r="AR128" s="473" t="e">
        <f>IF(AND($Y128&gt;=IF($B$2="mil",1,0.0254)*500, $Y128&lt;=IF($B$2="mil",1,0.0254)*6500),"Pass",IF($B$2="mil",1,0.0254)*6500-$Y128)</f>
        <v>#REF!</v>
      </c>
      <c r="AS128" s="474" t="e">
        <f>IF(AND($Z128&gt;=IF($B$2="mil",1,0.0254)*500, $Z128&lt;=IF($B$2="mil",1,0.0254)*7000),"Pass",IF($B$2="mil",1,0.0254)*7000-$Z128)</f>
        <v>#REF!</v>
      </c>
      <c r="AT128" s="4" t="e">
        <f t="shared" ca="1" si="82"/>
        <v>#REF!</v>
      </c>
      <c r="AU128" s="2"/>
    </row>
    <row r="129" spans="14:47" x14ac:dyDescent="0.2">
      <c r="N129" s="216" t="s">
        <v>104</v>
      </c>
      <c r="O129" s="216"/>
      <c r="P129">
        <v>703.8</v>
      </c>
      <c r="Q129" s="551">
        <v>150.86000000000001</v>
      </c>
      <c r="R129" s="551">
        <v>174.58</v>
      </c>
      <c r="S129" s="490">
        <f t="shared" si="71"/>
        <v>5204.33</v>
      </c>
      <c r="T129" s="479" t="e">
        <f t="shared" si="72"/>
        <v>#REF!</v>
      </c>
      <c r="U129" s="469" t="e">
        <f>$V$110 + IF($B$2="mil",1,0.0254)*DDR2Specs!$E$9</f>
        <v>#REF!</v>
      </c>
      <c r="V129" s="492" t="e">
        <f>$U$110 + IF($B$2="mil",1,0.0254)*DDR2Specs!$F$9</f>
        <v>#REF!</v>
      </c>
      <c r="W129" s="491" t="e">
        <f>IF($T129&lt;$U129,$U129-$T129,"Pass")</f>
        <v>#REF!</v>
      </c>
      <c r="X129" s="492" t="e">
        <f>IF($T129&gt;$V129,$T129-$V129,"Pass")</f>
        <v>#REF!</v>
      </c>
      <c r="Y129" s="490">
        <f t="shared" si="73"/>
        <v>5228.05</v>
      </c>
      <c r="Z129" s="479" t="e">
        <f t="shared" si="74"/>
        <v>#REF!</v>
      </c>
      <c r="AA129" s="469" t="e">
        <f>$AB$110 + IF($B$2="mil",1,0.0254)*DDR2Specs!$E$9</f>
        <v>#REF!</v>
      </c>
      <c r="AB129" s="469" t="e">
        <f>$AA$110 + IF($B$2="mil",1,0.0254)*DDR2Specs!$F$9</f>
        <v>#REF!</v>
      </c>
      <c r="AC129" s="491" t="e">
        <f>IF($Z129&lt;$AA129,$AA129-$Z129,"Pass")</f>
        <v>#REF!</v>
      </c>
      <c r="AD129" s="492" t="e">
        <f>IF($Z129&gt;$AB129,$Z129-$AB129,"Pass")</f>
        <v>#REF!</v>
      </c>
      <c r="AE129" s="2"/>
      <c r="AF129" s="2"/>
      <c r="AG129" s="2"/>
      <c r="AH129" s="2"/>
      <c r="AI129" s="2"/>
      <c r="AJ129" s="2"/>
      <c r="AK129" s="511" t="s">
        <v>104</v>
      </c>
      <c r="AL129" s="504" t="e">
        <f>IF(P129&lt;=IF($B$2="mil",1,0.0254)*1000,"Pass",IF($B$2="mil",1,0.0254)*1000-P129)</f>
        <v>#REF!</v>
      </c>
      <c r="AM129" s="2"/>
      <c r="AN129" s="473" t="e">
        <f ca="1">CheckLength2(IF($B$2="mil",1,0.0254)*1200,P129,Q129,0)</f>
        <v>#NAME?</v>
      </c>
      <c r="AO129" s="473" t="e">
        <f ca="1">CheckLength2(IF($B$2="mil",1,0.0254)*1200,P129,R129,0)</f>
        <v>#NAME?</v>
      </c>
      <c r="AP129" s="473" t="e">
        <f>IF(AND(S129&gt;=IF($B$2="mil",1,0.0254)*500, $S129&lt;=IF($B$2="mil",1,0.0254)*6500),"Pass",IF($B$2="mil",1,0.0254)*6500-$S129)</f>
        <v>#REF!</v>
      </c>
      <c r="AQ129" s="504" t="e">
        <f>IF(AND($T129&gt;=IF($B$2="mil",1,0.0254)*500, $T129&lt;=IF($B$2="mil",1,0.0254)*7000),"Pass",IF($B$2="mil",1,0.0254)*7000-$T129)</f>
        <v>#REF!</v>
      </c>
      <c r="AR129" s="473" t="e">
        <f>IF(AND($Y129&gt;=IF($B$2="mil",1,0.0254)*500, $Y129&lt;=IF($B$2="mil",1,0.0254)*6500),"Pass",IF($B$2="mil",1,0.0254)*6500-$Y129)</f>
        <v>#REF!</v>
      </c>
      <c r="AS129" s="474" t="e">
        <f>IF(AND($Z129&gt;=IF($B$2="mil",1,0.0254)*500, $Z129&lt;=IF($B$2="mil",1,0.0254)*7000),"Pass",IF($B$2="mil",1,0.0254)*7000-$Z129)</f>
        <v>#REF!</v>
      </c>
      <c r="AT129" s="4" t="e">
        <f t="shared" ca="1" si="82"/>
        <v>#REF!</v>
      </c>
      <c r="AU129" s="2"/>
    </row>
    <row r="130" spans="14:47" x14ac:dyDescent="0.2">
      <c r="N130" s="180" t="s">
        <v>279</v>
      </c>
      <c r="O130" s="180"/>
      <c r="P130" s="298"/>
      <c r="Q130" s="298"/>
      <c r="R130" s="298"/>
      <c r="S130" s="182"/>
      <c r="T130" s="182"/>
      <c r="U130" s="182"/>
      <c r="V130" s="515"/>
      <c r="W130" s="385"/>
      <c r="X130" s="385"/>
      <c r="Y130" s="182"/>
      <c r="Z130" s="182"/>
      <c r="AA130" s="182"/>
      <c r="AB130" s="182"/>
      <c r="AC130" s="385"/>
      <c r="AD130" s="385"/>
      <c r="AE130" s="2"/>
      <c r="AF130" s="2"/>
      <c r="AG130" s="2"/>
      <c r="AH130" s="2"/>
      <c r="AI130" s="2"/>
      <c r="AJ130" s="2"/>
      <c r="AK130" s="134" t="s">
        <v>279</v>
      </c>
      <c r="AL130" s="506"/>
      <c r="AM130" s="2"/>
      <c r="AN130" s="385"/>
      <c r="AO130" s="385"/>
      <c r="AP130" s="385"/>
      <c r="AQ130" s="506"/>
      <c r="AR130" s="385"/>
      <c r="AS130" s="506"/>
      <c r="AT130" s="2"/>
      <c r="AU130" s="2"/>
    </row>
    <row r="131" spans="14:47" x14ac:dyDescent="0.2">
      <c r="N131" s="162" t="s">
        <v>106</v>
      </c>
      <c r="O131" s="162"/>
      <c r="P131">
        <v>694.41</v>
      </c>
      <c r="Q131" s="551">
        <v>70.95</v>
      </c>
      <c r="R131" s="551">
        <v>95.54</v>
      </c>
      <c r="S131" s="490">
        <f t="shared" si="71"/>
        <v>5018.0600000000004</v>
      </c>
      <c r="T131" s="479" t="e">
        <f t="shared" si="72"/>
        <v>#REF!</v>
      </c>
      <c r="U131" s="469" t="e">
        <f>$V$110 + IF($B$2="mil",1,0.0254)*DDR2Specs!$E$9</f>
        <v>#REF!</v>
      </c>
      <c r="V131" s="492" t="e">
        <f>$U$110 + IF($B$2="mil",1,0.0254)*DDR2Specs!$F$9</f>
        <v>#REF!</v>
      </c>
      <c r="W131" s="491" t="e">
        <f>IF($T131&lt;$U131,$U131-$T131,"Pass")</f>
        <v>#REF!</v>
      </c>
      <c r="X131" s="492" t="e">
        <f>IF($T131&gt;$V131,$T131-$V131,"Pass")</f>
        <v>#REF!</v>
      </c>
      <c r="Y131" s="490">
        <f t="shared" si="73"/>
        <v>5042.6500000000005</v>
      </c>
      <c r="Z131" s="479" t="e">
        <f t="shared" si="74"/>
        <v>#REF!</v>
      </c>
      <c r="AA131" s="469" t="e">
        <f>$AB$110 + IF($B$2="mil",1,0.0254)*DDR2Specs!$E$9</f>
        <v>#REF!</v>
      </c>
      <c r="AB131" s="469" t="e">
        <f>$AA$110 + IF($B$2="mil",1,0.0254)*DDR2Specs!$F$9</f>
        <v>#REF!</v>
      </c>
      <c r="AC131" s="491" t="e">
        <f>IF($Z131&lt;$AA131,$AA131-$Z131,"Pass")</f>
        <v>#REF!</v>
      </c>
      <c r="AD131" s="492" t="e">
        <f>IF($Z131&gt;$AB131,$Z131-$AB131,"Pass")</f>
        <v>#REF!</v>
      </c>
      <c r="AE131" s="2"/>
      <c r="AF131" s="2"/>
      <c r="AG131" s="2"/>
      <c r="AH131" s="2"/>
      <c r="AI131" s="2"/>
      <c r="AJ131" s="2"/>
      <c r="AK131" s="509" t="s">
        <v>106</v>
      </c>
      <c r="AL131" s="504" t="e">
        <f>IF(P131&lt;=IF($B$2="mil",1,0.0254)*1000,"Pass",IF($B$2="mil",1,0.0254)*1000-P131)</f>
        <v>#REF!</v>
      </c>
      <c r="AM131" s="2"/>
      <c r="AN131" s="473" t="e">
        <f ca="1">CheckLength2(IF($B$2="mil",1,0.0254)*1200,P131,Q131,0)</f>
        <v>#NAME?</v>
      </c>
      <c r="AO131" s="473" t="e">
        <f ca="1">CheckLength2(IF($B$2="mil",1,0.0254)*1200,P131,R131,0)</f>
        <v>#NAME?</v>
      </c>
      <c r="AP131" s="473" t="e">
        <f>IF(AND(S131&gt;=IF($B$2="mil",1,0.0254)*500, $S131&lt;=IF($B$2="mil",1,0.0254)*6500),"Pass",IF($B$2="mil",1,0.0254)*6500-$S131)</f>
        <v>#REF!</v>
      </c>
      <c r="AQ131" s="504" t="e">
        <f>IF(AND($T131&gt;=IF($B$2="mil",1,0.0254)*500, $T131&lt;=IF($B$2="mil",1,0.0254)*7000),"Pass",IF($B$2="mil",1,0.0254)*7000-$T131)</f>
        <v>#REF!</v>
      </c>
      <c r="AR131" s="473" t="e">
        <f>IF(AND($Y131&gt;=IF($B$2="mil",1,0.0254)*500, $Y131&lt;=IF($B$2="mil",1,0.0254)*6500),"Pass",IF($B$2="mil",1,0.0254)*6500-$Y131)</f>
        <v>#REF!</v>
      </c>
      <c r="AS131" s="474" t="e">
        <f>IF(AND($Z131&gt;=IF($B$2="mil",1,0.0254)*500, $Z131&lt;=IF($B$2="mil",1,0.0254)*7000),"Pass",IF($B$2="mil",1,0.0254)*7000-$Z131)</f>
        <v>#REF!</v>
      </c>
      <c r="AT131" s="4" t="e">
        <f t="shared" ca="1" si="82"/>
        <v>#REF!</v>
      </c>
      <c r="AU131" s="2"/>
    </row>
    <row r="132" spans="14:47" x14ac:dyDescent="0.2">
      <c r="N132" s="217" t="s">
        <v>107</v>
      </c>
      <c r="O132" s="217"/>
      <c r="P132">
        <v>692.96</v>
      </c>
      <c r="Q132" s="551">
        <v>83.42</v>
      </c>
      <c r="R132" s="551">
        <v>92.89</v>
      </c>
      <c r="S132" s="490">
        <f t="shared" si="71"/>
        <v>4958.58</v>
      </c>
      <c r="T132" s="479" t="e">
        <f t="shared" si="72"/>
        <v>#REF!</v>
      </c>
      <c r="U132" s="469" t="e">
        <f>$V$110 + IF($B$2="mil",1,0.0254)*DDR2Specs!$E$9</f>
        <v>#REF!</v>
      </c>
      <c r="V132" s="492" t="e">
        <f>$U$110 + IF($B$2="mil",1,0.0254)*DDR2Specs!$F$9</f>
        <v>#REF!</v>
      </c>
      <c r="W132" s="491" t="e">
        <f>IF($T132&lt;$U132,$U132-$T132,"Pass")</f>
        <v>#REF!</v>
      </c>
      <c r="X132" s="492" t="e">
        <f>IF($T132&gt;$V132,$T132-$V132,"Pass")</f>
        <v>#REF!</v>
      </c>
      <c r="Y132" s="490">
        <f t="shared" si="73"/>
        <v>4968.05</v>
      </c>
      <c r="Z132" s="479" t="e">
        <f t="shared" si="74"/>
        <v>#REF!</v>
      </c>
      <c r="AA132" s="469" t="e">
        <f>$AB$110 + IF($B$2="mil",1,0.0254)*DDR2Specs!$E$9</f>
        <v>#REF!</v>
      </c>
      <c r="AB132" s="469" t="e">
        <f>$AA$110 + IF($B$2="mil",1,0.0254)*DDR2Specs!$F$9</f>
        <v>#REF!</v>
      </c>
      <c r="AC132" s="491" t="e">
        <f>IF($Z132&lt;$AA132,$AA132-$Z132,"Pass")</f>
        <v>#REF!</v>
      </c>
      <c r="AD132" s="492" t="e">
        <f>IF($Z132&gt;$AB132,$Z132-$AB132,"Pass")</f>
        <v>#REF!</v>
      </c>
      <c r="AE132" s="2"/>
      <c r="AF132" s="2"/>
      <c r="AG132" s="2"/>
      <c r="AH132" s="2"/>
      <c r="AI132" s="2"/>
      <c r="AJ132" s="2"/>
      <c r="AK132" s="510" t="s">
        <v>107</v>
      </c>
      <c r="AL132" s="504" t="e">
        <f>IF(P132&lt;=IF($B$2="mil",1,0.0254)*1000,"Pass",IF($B$2="mil",1,0.0254)*1000-P132)</f>
        <v>#REF!</v>
      </c>
      <c r="AM132" s="2"/>
      <c r="AN132" s="473" t="e">
        <f ca="1">CheckLength2(IF($B$2="mil",1,0.0254)*1200,P132,Q132,0)</f>
        <v>#NAME?</v>
      </c>
      <c r="AO132" s="473" t="e">
        <f ca="1">CheckLength2(IF($B$2="mil",1,0.0254)*1200,P132,R132,0)</f>
        <v>#NAME?</v>
      </c>
      <c r="AP132" s="473" t="e">
        <f>IF(AND(S132&gt;=IF($B$2="mil",1,0.0254)*500, $S132&lt;=IF($B$2="mil",1,0.0254)*6500),"Pass",IF($B$2="mil",1,0.0254)*6500-$S132)</f>
        <v>#REF!</v>
      </c>
      <c r="AQ132" s="504" t="e">
        <f>IF(AND($T132&gt;=IF($B$2="mil",1,0.0254)*500, $T132&lt;=IF($B$2="mil",1,0.0254)*7000),"Pass",IF($B$2="mil",1,0.0254)*7000-$T132)</f>
        <v>#REF!</v>
      </c>
      <c r="AR132" s="473" t="e">
        <f>IF(AND($Y132&gt;=IF($B$2="mil",1,0.0254)*500, $Y132&lt;=IF($B$2="mil",1,0.0254)*6500),"Pass",IF($B$2="mil",1,0.0254)*6500-$Y132)</f>
        <v>#REF!</v>
      </c>
      <c r="AS132" s="474" t="e">
        <f>IF(AND($Z132&gt;=IF($B$2="mil",1,0.0254)*500, $Z132&lt;=IF($B$2="mil",1,0.0254)*7000),"Pass",IF($B$2="mil",1,0.0254)*7000-$Z132)</f>
        <v>#REF!</v>
      </c>
      <c r="AT132" s="4" t="e">
        <f t="shared" ca="1" si="82"/>
        <v>#REF!</v>
      </c>
      <c r="AU132" s="2"/>
    </row>
    <row r="133" spans="14:47" x14ac:dyDescent="0.2">
      <c r="N133" s="217" t="s">
        <v>108</v>
      </c>
      <c r="O133" s="217"/>
      <c r="P133">
        <v>712.82</v>
      </c>
      <c r="Q133" s="551">
        <v>95.07</v>
      </c>
      <c r="R133" s="551">
        <v>48.34</v>
      </c>
      <c r="S133" s="490">
        <f t="shared" si="71"/>
        <v>5083.45</v>
      </c>
      <c r="T133" s="479" t="e">
        <f t="shared" si="72"/>
        <v>#REF!</v>
      </c>
      <c r="U133" s="469" t="e">
        <f>$V$110 + IF($B$2="mil",1,0.0254)*DDR2Specs!$E$9</f>
        <v>#REF!</v>
      </c>
      <c r="V133" s="492" t="e">
        <f>$U$110 + IF($B$2="mil",1,0.0254)*DDR2Specs!$F$9</f>
        <v>#REF!</v>
      </c>
      <c r="W133" s="491" t="e">
        <f>IF($T133&lt;$U133,$U133-$T133,"Pass")</f>
        <v>#REF!</v>
      </c>
      <c r="X133" s="492" t="e">
        <f>IF($T133&gt;$V133,$T133-$V133,"Pass")</f>
        <v>#REF!</v>
      </c>
      <c r="Y133" s="490">
        <f t="shared" si="73"/>
        <v>5036.72</v>
      </c>
      <c r="Z133" s="479" t="e">
        <f t="shared" si="74"/>
        <v>#REF!</v>
      </c>
      <c r="AA133" s="469" t="e">
        <f>$AB$110 + IF($B$2="mil",1,0.0254)*DDR2Specs!$E$9</f>
        <v>#REF!</v>
      </c>
      <c r="AB133" s="469" t="e">
        <f>$AA$110 + IF($B$2="mil",1,0.0254)*DDR2Specs!$F$9</f>
        <v>#REF!</v>
      </c>
      <c r="AC133" s="491" t="e">
        <f>IF($Z133&lt;$AA133,$AA133-$Z133,"Pass")</f>
        <v>#REF!</v>
      </c>
      <c r="AD133" s="492" t="e">
        <f>IF($Z133&gt;$AB133,$Z133-$AB133,"Pass")</f>
        <v>#REF!</v>
      </c>
      <c r="AE133" s="2"/>
      <c r="AF133" s="2"/>
      <c r="AG133" s="2"/>
      <c r="AH133" s="2"/>
      <c r="AI133" s="2"/>
      <c r="AJ133" s="2"/>
      <c r="AK133" s="510" t="s">
        <v>108</v>
      </c>
      <c r="AL133" s="504" t="e">
        <f>IF(P133&lt;=IF($B$2="mil",1,0.0254)*1000,"Pass",IF($B$2="mil",1,0.0254)*1000-P133)</f>
        <v>#REF!</v>
      </c>
      <c r="AM133" s="2"/>
      <c r="AN133" s="473" t="e">
        <f ca="1">CheckLength2(IF($B$2="mil",1,0.0254)*1200,P133,Q133,0)</f>
        <v>#NAME?</v>
      </c>
      <c r="AO133" s="473" t="e">
        <f ca="1">CheckLength2(IF($B$2="mil",1,0.0254)*1200,P133,R133,0)</f>
        <v>#NAME?</v>
      </c>
      <c r="AP133" s="473" t="e">
        <f>IF(AND(S133&gt;=IF($B$2="mil",1,0.0254)*500, $S133&lt;=IF($B$2="mil",1,0.0254)*6500),"Pass",IF($B$2="mil",1,0.0254)*6500-$S133)</f>
        <v>#REF!</v>
      </c>
      <c r="AQ133" s="504" t="e">
        <f>IF(AND($T133&gt;=IF($B$2="mil",1,0.0254)*500, $T133&lt;=IF($B$2="mil",1,0.0254)*7000),"Pass",IF($B$2="mil",1,0.0254)*7000-$T133)</f>
        <v>#REF!</v>
      </c>
      <c r="AR133" s="473" t="e">
        <f>IF(AND($Y133&gt;=IF($B$2="mil",1,0.0254)*500, $Y133&lt;=IF($B$2="mil",1,0.0254)*6500),"Pass",IF($B$2="mil",1,0.0254)*6500-$Y133)</f>
        <v>#REF!</v>
      </c>
      <c r="AS133" s="474" t="e">
        <f>IF(AND($Z133&gt;=IF($B$2="mil",1,0.0254)*500, $Z133&lt;=IF($B$2="mil",1,0.0254)*7000),"Pass",IF($B$2="mil",1,0.0254)*7000-$Z133)</f>
        <v>#REF!</v>
      </c>
      <c r="AT133" s="4" t="e">
        <f t="shared" ca="1" si="82"/>
        <v>#REF!</v>
      </c>
      <c r="AU133" s="2"/>
    </row>
  </sheetData>
  <protectedRanges>
    <protectedRange sqref="Q79:R81 Q60:R73 Q75:R77 P86:R99 P101:R103 E7:H20 E22:H24 E26:H28 J26:K28 J22:K24 J7:K20 E34:H47 E49:H51 E53:H55 J53:K55 J49:K51 J34:K47 P112:R125 P127:R129 P131:R133 P105:R107" name="DDR2_COMMAND_8LTB"/>
  </protectedRanges>
  <mergeCells count="2">
    <mergeCell ref="A1:E1"/>
    <mergeCell ref="F1:G1"/>
  </mergeCells>
  <phoneticPr fontId="25" type="noConversion"/>
  <conditionalFormatting sqref="A1 F1:Z1">
    <cfRule type="expression" dxfId="135" priority="5" stopIfTrue="1">
      <formula>$F$1 = "Fail"</formula>
    </cfRule>
    <cfRule type="expression" dxfId="134" priority="6" stopIfTrue="1">
      <formula>$F$1 = "Pass"</formula>
    </cfRule>
  </conditionalFormatting>
  <conditionalFormatting sqref="R7:S20 U7:AS20 R22:S24 U22:AS24 R26:S28 U26:AS28 W34:X47 AC34:AD47 AF34:AS47 W49:X51 AC49:AD51 AF49:AS51 W53:X55 AC53:AD55 AF53:AS55 W60:X73 AC60:AD73 AN60:AS73 W75:X77 AC75:AD77 AN75:AS77 AK77 W79:X81 AC79:AD81 AN79:AS81 W86:X99 AC86:AD99 AJ86:AJ99 AN86:AS99 W101:X103 AC101:AD103 AJ101:AJ103 AN101:AS103 W105:X107 AC105:AD107 AJ105:AJ107 AN105:AS107 W112:X125 AC112:AD125 AL112:AL125 AN112:AS125 W127:X129 AC127:AD129 AL127:AL129 AN127:AS129 W131:X133 AC131:AD133 AL131:AL133 AN131:AS133">
    <cfRule type="cellIs" priority="1" stopIfTrue="1" operator="equal">
      <formula>"Pass"</formula>
    </cfRule>
    <cfRule type="cellIs" dxfId="133" priority="2" stopIfTrue="1" operator="notEqual">
      <formula>"Pass"</formula>
    </cfRule>
  </conditionalFormatting>
  <conditionalFormatting sqref="T7:T20 T22:T24 T26:T28 AE34:AE47 AE49:AE51 AE53:AE55">
    <cfRule type="cellIs" dxfId="132" priority="3" stopIfTrue="1" operator="equal">
      <formula>"Pass"</formula>
    </cfRule>
    <cfRule type="cellIs" dxfId="131" priority="4" stopIfTrue="1" operator="notEqual">
      <formula>"Pass"</formula>
    </cfRule>
  </conditionalFormatting>
  <pageMargins left="0.75" right="0.75" top="1" bottom="1" header="0.5" footer="0.5"/>
  <pageSetup paperSize="9" orientation="portrait" verticalDpi="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Visio.Drawing.11" shapeId="21636" r:id="rId4">
          <objectPr defaultSize="0" autoPict="0" r:id="rId5">
            <anchor moveWithCells="1">
              <from>
                <xdr:col>0</xdr:col>
                <xdr:colOff>0</xdr:colOff>
                <xdr:row>56</xdr:row>
                <xdr:rowOff>0</xdr:rowOff>
              </from>
              <to>
                <xdr:col>7</xdr:col>
                <xdr:colOff>1743075</xdr:colOff>
                <xdr:row>64</xdr:row>
                <xdr:rowOff>66675</xdr:rowOff>
              </to>
            </anchor>
          </objectPr>
        </oleObject>
      </mc:Choice>
      <mc:Fallback>
        <oleObject progId="Visio.Drawing.11" shapeId="21636" r:id="rId4"/>
      </mc:Fallback>
    </mc:AlternateContent>
  </oleObject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0"/>
  <dimension ref="A1:AZ170"/>
  <sheetViews>
    <sheetView zoomScale="75" workbookViewId="0">
      <selection activeCell="AS27" sqref="AS27"/>
    </sheetView>
  </sheetViews>
  <sheetFormatPr defaultRowHeight="12.75" x14ac:dyDescent="0.2"/>
  <cols>
    <col min="1" max="1" width="26" bestFit="1" customWidth="1"/>
    <col min="2" max="2" width="7.140625" bestFit="1" customWidth="1"/>
    <col min="3" max="3" width="8.7109375" bestFit="1" customWidth="1"/>
    <col min="4" max="4" width="1" customWidth="1"/>
    <col min="5" max="5" width="10" bestFit="1" customWidth="1"/>
    <col min="6" max="6" width="9.7109375" bestFit="1" customWidth="1"/>
    <col min="7" max="7" width="10" bestFit="1" customWidth="1"/>
    <col min="8" max="8" width="13.28515625" customWidth="1"/>
    <col min="9" max="9" width="1" customWidth="1"/>
    <col min="10" max="10" width="13.85546875" bestFit="1" customWidth="1"/>
    <col min="11" max="11" width="10" bestFit="1" customWidth="1"/>
    <col min="12" max="12" width="1" customWidth="1"/>
    <col min="13" max="13" width="17.140625" bestFit="1" customWidth="1"/>
    <col min="14" max="14" width="23" bestFit="1" customWidth="1"/>
    <col min="15" max="15" width="1" customWidth="1"/>
    <col min="16" max="16" width="18.42578125" bestFit="1" customWidth="1"/>
    <col min="17" max="17" width="13.7109375" customWidth="1"/>
    <col min="18" max="19" width="25.140625" customWidth="1"/>
    <col min="20" max="20" width="14.5703125" bestFit="1" customWidth="1"/>
    <col min="21" max="21" width="16.28515625" bestFit="1" customWidth="1"/>
    <col min="22" max="22" width="22.85546875" style="1" customWidth="1"/>
    <col min="23" max="23" width="28.28515625" customWidth="1"/>
    <col min="24" max="24" width="17.140625" customWidth="1"/>
    <col min="25" max="25" width="14.5703125" customWidth="1"/>
    <col min="26" max="26" width="16.140625" customWidth="1"/>
    <col min="27" max="27" width="12" customWidth="1"/>
    <col min="28" max="28" width="21.5703125" customWidth="1"/>
    <col min="29" max="29" width="23.7109375" customWidth="1"/>
    <col min="30" max="30" width="17.85546875" customWidth="1"/>
    <col min="31" max="31" width="13.28515625" customWidth="1"/>
    <col min="32" max="32" width="12.140625" customWidth="1"/>
    <col min="33" max="33" width="25.140625" customWidth="1"/>
    <col min="34" max="34" width="15.140625" customWidth="1"/>
    <col min="35" max="35" width="25.140625" customWidth="1"/>
    <col min="36" max="36" width="14.5703125" customWidth="1"/>
    <col min="37" max="37" width="25.140625" customWidth="1"/>
    <col min="38" max="38" width="15.7109375" customWidth="1"/>
    <col min="39" max="39" width="16.140625" customWidth="1"/>
    <col min="40" max="40" width="22.140625" customWidth="1"/>
    <col min="41" max="41" width="19.28515625" customWidth="1"/>
    <col min="42" max="42" width="18.28515625" customWidth="1"/>
    <col min="43" max="43" width="16" customWidth="1"/>
    <col min="44" max="44" width="18.28515625" customWidth="1"/>
    <col min="45" max="45" width="14.7109375" customWidth="1"/>
    <col min="46" max="46" width="18.28515625" customWidth="1"/>
    <col min="47" max="47" width="21.5703125" customWidth="1"/>
    <col min="48" max="48" width="22.5703125" customWidth="1"/>
    <col min="49" max="49" width="24" customWidth="1"/>
    <col min="50" max="50" width="22.42578125" customWidth="1"/>
    <col min="51" max="52" width="0" hidden="1" customWidth="1"/>
  </cols>
  <sheetData>
    <row r="1" spans="1:52" s="2" customFormat="1" ht="26.25" x14ac:dyDescent="0.2">
      <c r="A1" s="998" t="s">
        <v>276</v>
      </c>
      <c r="B1" s="999"/>
      <c r="C1" s="999"/>
      <c r="D1" s="999"/>
      <c r="E1" s="999"/>
      <c r="F1" s="1000" t="e">
        <f ca="1">IF(AND(AZ7="Pass",AZ8="Pass",AZ35="Pass",AZ34="Pass",AZ60="Pass",AZ61="Pass",AZ86="Pass",AZ87="Pass",AZ112="Pass",AZ113="Pass"),"Pass","Fail")</f>
        <v>#REF!</v>
      </c>
      <c r="G1" s="1000"/>
      <c r="H1" s="412"/>
      <c r="I1" s="412"/>
      <c r="J1" s="412"/>
      <c r="K1" s="412"/>
      <c r="L1" s="412"/>
      <c r="M1" s="412"/>
      <c r="N1" s="412"/>
      <c r="O1" s="412"/>
      <c r="P1" s="412"/>
      <c r="Q1" s="412"/>
      <c r="R1" s="412"/>
      <c r="S1" s="412"/>
      <c r="T1" s="412"/>
      <c r="U1" s="412"/>
      <c r="V1" s="425"/>
      <c r="W1" s="412"/>
      <c r="X1" s="412"/>
      <c r="Y1" s="412"/>
      <c r="Z1" s="413"/>
    </row>
    <row r="2" spans="1:52" s="82" customFormat="1" x14ac:dyDescent="0.2">
      <c r="A2" s="414" t="s">
        <v>58</v>
      </c>
      <c r="B2" s="268" t="e">
        <f>'DDR2 Clocks - 4L'!B2</f>
        <v>#REF!</v>
      </c>
      <c r="C2" s="83"/>
      <c r="D2" s="83"/>
      <c r="E2" s="83"/>
      <c r="F2" s="122"/>
      <c r="G2" s="122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384"/>
      <c r="W2" s="84"/>
      <c r="X2" s="84"/>
      <c r="Y2" s="84"/>
      <c r="Z2" s="237"/>
    </row>
    <row r="3" spans="1:52" s="133" customFormat="1" ht="22.5" x14ac:dyDescent="0.2">
      <c r="A3" s="123" t="s">
        <v>494</v>
      </c>
      <c r="B3" s="123" t="s">
        <v>457</v>
      </c>
      <c r="C3" s="124" t="s">
        <v>70</v>
      </c>
      <c r="D3" s="125"/>
      <c r="E3" s="126" t="e">
        <f>"Escape
Length L0
 ["&amp;$B$2&amp;"]"</f>
        <v>#REF!</v>
      </c>
      <c r="F3" s="126" t="e">
        <f>"Breakout
Length L1
["&amp; $B$2&amp;"]"</f>
        <v>#REF!</v>
      </c>
      <c r="G3" s="126" t="e">
        <f>"Main
Length L2
[" &amp;$B$2&amp; " ]"</f>
        <v>#REF!</v>
      </c>
      <c r="H3" s="126" t="e">
        <f>"Breakin
Length S1  
[" &amp;$B$2&amp;"]"</f>
        <v>#REF!</v>
      </c>
      <c r="I3" s="129"/>
      <c r="J3" s="130" t="e">
        <f>"Via-to-via (SODIMM-to-Rt) L3 [" &amp;$B$2&amp;"]"</f>
        <v>#REF!</v>
      </c>
      <c r="K3" s="130" t="e">
        <f>"Via-to-Rt 
L4 [" &amp;$B$2&amp;"]"</f>
        <v>#REF!</v>
      </c>
      <c r="L3" s="129"/>
      <c r="M3" s="128" t="e">
        <f>"Total MB Length
(L0+L1+L2+S1)
[" &amp;$B$2&amp;"]"</f>
        <v>#REF!</v>
      </c>
      <c r="N3" s="129" t="e">
        <f>"Total Pad-to-Pin Length (P1+L0+L1+L2+S1)
[" &amp;$B$2&amp;"]"</f>
        <v>#REF!</v>
      </c>
      <c r="O3" s="130"/>
      <c r="P3" s="130" t="e">
        <f>"Target Min Length 
["&amp;$B$2&amp;"]"</f>
        <v>#REF!</v>
      </c>
      <c r="Q3" s="129" t="e">
        <f>"Target Max Length 
["&amp;$B$2&amp;"]"</f>
        <v>#REF!</v>
      </c>
      <c r="R3" s="131" t="e">
        <f>"Routed Too Short [" &amp;$B$2&amp;"]"</f>
        <v>#REF!</v>
      </c>
      <c r="S3" s="130" t="e">
        <f>"Routed Too Long [" &amp;$B$2&amp;"]"</f>
        <v>#REF!</v>
      </c>
      <c r="T3" s="132" t="e">
        <f>"L0 Length Test (&lt;=" &amp; IF($B$2="mil",1,0.0254)*50&amp;$B$2&amp;")"</f>
        <v>#REF!</v>
      </c>
      <c r="U3" s="132" t="e">
        <f>"L1 Length Test (&lt;=" &amp; IF($B$2="mil",1,0.0254)*500&amp;$B$2&amp;")"</f>
        <v>#REF!</v>
      </c>
      <c r="V3" s="132" t="e">
        <f>"S1 Length test (&lt;=" &amp; IF($B$2="mil",1,0.0254)*200 &amp;$B$2&amp;")"</f>
        <v>#REF!</v>
      </c>
      <c r="W3" s="129" t="e">
        <f>"Total Length    (L0+L1+L2+S1) Test
 ("&amp;IF($B$2="mil",1,0.0254)*500&amp;"-"&amp;IF($B$2="mil",1,0.0254)*4500&amp;IF($B$2="mil","mil","mm")&amp;")"</f>
        <v>#REF!</v>
      </c>
      <c r="X3" s="129" t="e">
        <f>"Total Length    (P1+L0+L1+L2+S1) Test
 (&lt;="&amp;IF($B$2="mil",1,25.4)*5000&amp;IF($B$2="mil","mil","mm")&amp;")"</f>
        <v>#REF!</v>
      </c>
      <c r="Y3" s="129" t="e">
        <f>"L3 Length Test (&lt;="&amp;IF($B$2="mil",1,0.0254)*1300&amp;$B$2&amp; ")"</f>
        <v>#REF!</v>
      </c>
      <c r="Z3" s="129" t="e">
        <f>"L4 Length Test (&lt;=" &amp; IF($B$2="mil",1,0.0254)*200&amp;$B$2&amp;") or (L3+L4&lt;= "&amp;IF($B$2="mil",1,0.0254)*1500&amp;$B$2&amp;")"</f>
        <v>#REF!</v>
      </c>
    </row>
    <row r="4" spans="1:52" s="4" customFormat="1" ht="11.25" x14ac:dyDescent="0.2">
      <c r="A4" s="415" t="s">
        <v>259</v>
      </c>
      <c r="B4" s="134"/>
      <c r="C4" s="134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6"/>
      <c r="O4" s="135"/>
      <c r="P4" s="135"/>
      <c r="Q4" s="135"/>
      <c r="R4" s="135"/>
      <c r="S4" s="135"/>
      <c r="T4" s="135"/>
      <c r="U4" s="135"/>
      <c r="V4" s="385"/>
      <c r="W4" s="135"/>
      <c r="X4" s="135"/>
      <c r="Y4" s="137"/>
      <c r="Z4" s="243"/>
      <c r="AA4" s="138"/>
      <c r="AB4" s="139"/>
      <c r="AC4" s="139"/>
    </row>
    <row r="5" spans="1:52" s="4" customFormat="1" ht="11.25" x14ac:dyDescent="0.2">
      <c r="A5" s="319" t="s">
        <v>263</v>
      </c>
      <c r="B5" s="141"/>
      <c r="C5" s="141"/>
      <c r="D5" s="142"/>
      <c r="E5" s="143"/>
      <c r="F5" s="143"/>
      <c r="G5" s="143"/>
      <c r="H5" s="143"/>
      <c r="I5" s="144"/>
      <c r="J5" s="144"/>
      <c r="K5" s="143"/>
      <c r="L5" s="144"/>
      <c r="M5" s="143"/>
      <c r="N5" s="145"/>
      <c r="O5" s="142"/>
      <c r="P5" s="481" t="e">
        <f>MIN('DDR2 Clocks - 4L'!$O$22:$O$25)</f>
        <v>#REF!</v>
      </c>
      <c r="Q5" s="481" t="e">
        <f>MAX('DDR2 Clocks - 4L'!$O$22:$O$25)</f>
        <v>#REF!</v>
      </c>
      <c r="R5" s="145"/>
      <c r="S5" s="145"/>
      <c r="T5" s="145"/>
      <c r="U5" s="482"/>
      <c r="V5" s="483"/>
      <c r="W5" s="483"/>
      <c r="X5" s="483"/>
      <c r="Y5" s="484"/>
      <c r="Z5" s="484"/>
      <c r="AB5" s="21"/>
      <c r="AC5" s="21"/>
    </row>
    <row r="6" spans="1:52" s="4" customFormat="1" ht="11.25" x14ac:dyDescent="0.2">
      <c r="A6" s="415" t="s">
        <v>286</v>
      </c>
      <c r="B6" s="134"/>
      <c r="C6" s="134"/>
      <c r="D6" s="155"/>
      <c r="E6" s="156"/>
      <c r="F6" s="156"/>
      <c r="G6" s="156"/>
      <c r="H6" s="156"/>
      <c r="I6" s="156"/>
      <c r="J6" s="157"/>
      <c r="K6" s="157"/>
      <c r="L6" s="156"/>
      <c r="M6" s="156"/>
      <c r="N6" s="156"/>
      <c r="O6" s="155"/>
      <c r="P6" s="155"/>
      <c r="Q6" s="476"/>
      <c r="R6" s="155"/>
      <c r="S6" s="155"/>
      <c r="T6" s="155"/>
      <c r="U6" s="155"/>
      <c r="V6" s="385"/>
      <c r="W6" s="155"/>
      <c r="X6" s="155"/>
      <c r="Y6" s="155"/>
      <c r="Z6" s="478"/>
    </row>
    <row r="7" spans="1:52" s="4" customFormat="1" x14ac:dyDescent="0.2">
      <c r="A7" s="161" t="s">
        <v>109</v>
      </c>
      <c r="B7" s="432" t="s">
        <v>467</v>
      </c>
      <c r="C7" s="562">
        <v>378.93700787401576</v>
      </c>
      <c r="D7" s="200"/>
      <c r="E7" s="165">
        <v>29.7</v>
      </c>
      <c r="F7" s="165">
        <v>0</v>
      </c>
      <c r="G7" s="270">
        <v>1274.82</v>
      </c>
      <c r="H7" s="270">
        <v>108.78</v>
      </c>
      <c r="I7" s="179"/>
      <c r="J7" s="276">
        <v>0</v>
      </c>
      <c r="K7" s="271">
        <v>47.6</v>
      </c>
      <c r="L7" s="168"/>
      <c r="M7" s="467">
        <f t="shared" ref="M7:M20" si="0" xml:space="preserve"> E7+F7+G7+H7</f>
        <v>1413.3</v>
      </c>
      <c r="N7" s="467" t="e">
        <f t="shared" ref="N7:N20" si="1">IF($B$2="mil",1,0.0254)*C7+ M7</f>
        <v>#REF!</v>
      </c>
      <c r="O7" s="468"/>
      <c r="P7" s="469" t="e">
        <f>MAX($P$5:$Q$5)+IF($B$2="mil",1,0.0254)*DDR2Specs!$B$9</f>
        <v>#REF!</v>
      </c>
      <c r="Q7" s="469" t="e">
        <f>MIN($P$5:$Q$5)+IF($B$2="mil",1,0.0254)*DDR2Specs!$C$9</f>
        <v>#REF!</v>
      </c>
      <c r="R7" s="470" t="e">
        <f t="shared" ref="R7:R20" si="2">IF($N7&lt;$P7,$P7-$N7,"Pass")</f>
        <v>#REF!</v>
      </c>
      <c r="S7" s="471" t="e">
        <f t="shared" ref="S7:S20" si="3">IF($N7&gt;$Q7,$N7-$Q7,"Pass")</f>
        <v>#REF!</v>
      </c>
      <c r="T7" s="472" t="e">
        <f>IF($E7&lt;=IF($B$2="mil",1,0.0254)*50,"Pass",IF($B$2="mil",1,0.0254)*50-$E7)</f>
        <v>#REF!</v>
      </c>
      <c r="U7" s="473" t="e">
        <f t="shared" ref="U7:U20" si="4">IF($F7&lt;=IF($B$2="mil",1,0.0254)*500,"Pass",IF($B$2="mil",1,0.0254)*500-$F7)</f>
        <v>#REF!</v>
      </c>
      <c r="V7" s="473" t="e">
        <f>IF($H7&lt;=IF($B$2="mil",1,0.0254)*200,"Pass",IF($B$2="mil",1,0.0254)*200-$H7)</f>
        <v>#REF!</v>
      </c>
      <c r="W7" s="473" t="e">
        <f t="shared" ref="W7:W20" si="5">IF(AND($M7&gt;=IF($B$2="mil",1,0.0254)*500, $M7&lt;=IF($B$2="mil",1,0.0254)*4500),"Pass",IF($B$2="mil",1,0.0254)*4500-$M7)</f>
        <v>#REF!</v>
      </c>
      <c r="X7" s="473" t="e">
        <f>IF(AND($N7&gt;=IF($B$2="mil",1,0.0254)*500, $N7&lt;=IF($B$2="mil",1,0.0254)*5000),"Pass",IF($B$2="mil",1,0.0254)*5000-$N7)</f>
        <v>#REF!</v>
      </c>
      <c r="Y7" s="473" t="e">
        <f>IF((J7&lt;=IF($B$2="mil",1,0.0254)*1300),"Pass",IF($B$2="mil",1,0.0254)*1300-J7)</f>
        <v>#REF!</v>
      </c>
      <c r="Z7" s="474" t="e">
        <f ca="1">CheckLength2(IF($B$2="mil",1,0.0254)*1500,J7,K7,0)</f>
        <v>#NAME?</v>
      </c>
      <c r="AA7" s="350"/>
      <c r="AB7" s="350"/>
      <c r="AC7" s="350"/>
      <c r="AD7" s="350"/>
      <c r="AE7" s="350"/>
      <c r="AF7" s="350"/>
      <c r="AG7" s="350"/>
      <c r="AH7" s="350"/>
      <c r="AI7" s="350"/>
      <c r="AJ7" s="350"/>
      <c r="AK7" s="350"/>
      <c r="AL7" s="350"/>
      <c r="AM7" s="350"/>
      <c r="AN7" s="350"/>
      <c r="AO7" s="350"/>
      <c r="AP7" s="350"/>
      <c r="AQ7" s="350"/>
      <c r="AR7" s="350"/>
      <c r="AS7" s="350"/>
      <c r="AT7" s="350"/>
      <c r="AU7" s="350"/>
      <c r="AV7" s="350"/>
      <c r="AW7" s="350"/>
      <c r="AX7" s="350"/>
      <c r="AY7" s="4" t="e">
        <f t="shared" ref="AY7:AY20" ca="1" si="6">IF(AND(R7="Pass",S7="Pass",T7="Pass",U7="Pass",V7="Pass",W7="Pass",X7="Pass",Y7="Pass",Z7="Pass"),"Pass","Fail")</f>
        <v>#REF!</v>
      </c>
      <c r="AZ7" s="4" t="e">
        <f ca="1">IF(AND(AY7="Pass",AY8="Pass",AY9="Pass",AY10="Pass",AY11="Pass",AY12="Pass",AY13="Pass",AY14="Pass",AY15="Pass"),"Pass","Fail")</f>
        <v>#REF!</v>
      </c>
    </row>
    <row r="8" spans="1:52" s="4" customFormat="1" x14ac:dyDescent="0.2">
      <c r="A8" s="161" t="s">
        <v>110</v>
      </c>
      <c r="B8" s="433" t="s">
        <v>105</v>
      </c>
      <c r="C8" s="562">
        <v>526.1811023622048</v>
      </c>
      <c r="D8" s="201"/>
      <c r="E8" s="165">
        <v>29.7</v>
      </c>
      <c r="F8" s="165">
        <v>0</v>
      </c>
      <c r="G8" s="270">
        <v>1197.43</v>
      </c>
      <c r="H8" s="270">
        <v>98.82</v>
      </c>
      <c r="I8" s="179"/>
      <c r="J8" s="276">
        <v>0</v>
      </c>
      <c r="K8" s="271">
        <v>73.38</v>
      </c>
      <c r="L8" s="168"/>
      <c r="M8" s="467">
        <f t="shared" si="0"/>
        <v>1325.95</v>
      </c>
      <c r="N8" s="467" t="e">
        <f t="shared" si="1"/>
        <v>#REF!</v>
      </c>
      <c r="O8" s="475"/>
      <c r="P8" s="469" t="e">
        <f>MAX($P$5:$Q$5)+IF($B$2="mil",1,0.0254)*DDR2Specs!$B$9</f>
        <v>#REF!</v>
      </c>
      <c r="Q8" s="469" t="e">
        <f>MIN($P$5:$Q$5)+IF($B$2="mil",1,0.0254)*DDR2Specs!$C$9</f>
        <v>#REF!</v>
      </c>
      <c r="R8" s="470" t="e">
        <f t="shared" si="2"/>
        <v>#REF!</v>
      </c>
      <c r="S8" s="471" t="e">
        <f t="shared" si="3"/>
        <v>#REF!</v>
      </c>
      <c r="T8" s="472" t="e">
        <f t="shared" ref="T8:T20" si="7">IF($E8&lt;=IF($B$2="mil",1,0.0254)*50,"Pass",IF($B$2="mil",1,0.0254)*50-$E8)</f>
        <v>#REF!</v>
      </c>
      <c r="U8" s="473" t="e">
        <f t="shared" si="4"/>
        <v>#REF!</v>
      </c>
      <c r="V8" s="473" t="e">
        <f t="shared" ref="V8:V20" si="8">IF($H8&lt;=IF($B$2="mil",1,0.0254)*200,"Pass",IF($B$2="mil",1,0.0254)*200-$H8)</f>
        <v>#REF!</v>
      </c>
      <c r="W8" s="473" t="e">
        <f t="shared" si="5"/>
        <v>#REF!</v>
      </c>
      <c r="X8" s="473" t="e">
        <f t="shared" ref="X8:X20" si="9">IF(AND($N8&gt;=IF($B$2="mil",1,0.0254)*500, $N8&lt;=IF($B$2="mil",1,0.0254)*5000),"Pass",IF($B$2="mil",1,0.0254)*5000-$N8)</f>
        <v>#REF!</v>
      </c>
      <c r="Y8" s="473" t="e">
        <f t="shared" ref="Y8:Y28" si="10">IF((J8&lt;=IF($B$2="mil",1,0.0254)*1300),"Pass",IF($B$2="mil",1,0.0254)*1300-J8)</f>
        <v>#REF!</v>
      </c>
      <c r="Z8" s="474" t="e">
        <f t="shared" ref="Z8:Z20" ca="1" si="11">CheckLength2(IF($B$2="mil",1,0.0254)*1500,J8,K8,0)</f>
        <v>#NAME?</v>
      </c>
      <c r="AA8" s="350"/>
      <c r="AB8" s="350"/>
      <c r="AC8" s="350"/>
      <c r="AD8" s="350"/>
      <c r="AE8" s="350"/>
      <c r="AF8" s="350"/>
      <c r="AG8" s="350"/>
      <c r="AH8" s="350"/>
      <c r="AI8" s="350"/>
      <c r="AJ8" s="350"/>
      <c r="AK8" s="350"/>
      <c r="AL8" s="350"/>
      <c r="AM8" s="350"/>
      <c r="AN8" s="350"/>
      <c r="AO8" s="350"/>
      <c r="AP8" s="350"/>
      <c r="AQ8" s="350"/>
      <c r="AR8" s="350"/>
      <c r="AS8" s="350"/>
      <c r="AT8" s="350"/>
      <c r="AU8" s="350"/>
      <c r="AV8" s="350"/>
      <c r="AW8" s="350"/>
      <c r="AX8" s="350"/>
      <c r="AY8" s="4" t="e">
        <f t="shared" ca="1" si="6"/>
        <v>#REF!</v>
      </c>
      <c r="AZ8" s="4" t="e">
        <f ca="1">IF(AND(AY16="Pass",AY17="Pass",AY18="Pass",AY19="Pass",AY20="Pass",AY22="Pass",AY23="Pass",AY24="Pass",AY26="Pass",AY27="Pass",AY28="Pass"),"Pass","Fail")</f>
        <v>#REF!</v>
      </c>
    </row>
    <row r="9" spans="1:52" s="4" customFormat="1" x14ac:dyDescent="0.2">
      <c r="A9" s="161" t="s">
        <v>111</v>
      </c>
      <c r="B9" s="433" t="s">
        <v>468</v>
      </c>
      <c r="C9" s="562">
        <v>448.14960629921256</v>
      </c>
      <c r="D9" s="211"/>
      <c r="E9" s="165">
        <v>29.7</v>
      </c>
      <c r="F9" s="165">
        <v>0</v>
      </c>
      <c r="G9" s="270">
        <v>1237.5999999999999</v>
      </c>
      <c r="H9" s="270">
        <v>61.6</v>
      </c>
      <c r="I9" s="212"/>
      <c r="J9" s="276">
        <v>0</v>
      </c>
      <c r="K9" s="271">
        <v>101.57</v>
      </c>
      <c r="L9" s="213"/>
      <c r="M9" s="467">
        <f t="shared" si="0"/>
        <v>1328.8999999999999</v>
      </c>
      <c r="N9" s="467" t="e">
        <f t="shared" si="1"/>
        <v>#REF!</v>
      </c>
      <c r="O9" s="213"/>
      <c r="P9" s="469" t="e">
        <f>MAX($P$5:$Q$5)+IF($B$2="mil",1,0.0254)*DDR2Specs!$B$9</f>
        <v>#REF!</v>
      </c>
      <c r="Q9" s="469" t="e">
        <f>MIN($P$5:$Q$5)+IF($B$2="mil",1,0.0254)*DDR2Specs!$C$9</f>
        <v>#REF!</v>
      </c>
      <c r="R9" s="470" t="e">
        <f t="shared" si="2"/>
        <v>#REF!</v>
      </c>
      <c r="S9" s="471" t="e">
        <f t="shared" si="3"/>
        <v>#REF!</v>
      </c>
      <c r="T9" s="472" t="e">
        <f t="shared" si="7"/>
        <v>#REF!</v>
      </c>
      <c r="U9" s="473" t="e">
        <f t="shared" si="4"/>
        <v>#REF!</v>
      </c>
      <c r="V9" s="473" t="e">
        <f t="shared" si="8"/>
        <v>#REF!</v>
      </c>
      <c r="W9" s="473" t="e">
        <f t="shared" si="5"/>
        <v>#REF!</v>
      </c>
      <c r="X9" s="473" t="e">
        <f t="shared" si="9"/>
        <v>#REF!</v>
      </c>
      <c r="Y9" s="473" t="e">
        <f t="shared" si="10"/>
        <v>#REF!</v>
      </c>
      <c r="Z9" s="474" t="e">
        <f t="shared" ca="1" si="11"/>
        <v>#NAME?</v>
      </c>
      <c r="AA9" s="350"/>
      <c r="AB9" s="350"/>
      <c r="AC9" s="350"/>
      <c r="AD9" s="350"/>
      <c r="AE9" s="350"/>
      <c r="AF9" s="350"/>
      <c r="AG9" s="350"/>
      <c r="AH9" s="350"/>
      <c r="AI9" s="350"/>
      <c r="AJ9" s="350"/>
      <c r="AK9" s="350"/>
      <c r="AL9" s="350"/>
      <c r="AM9" s="350"/>
      <c r="AN9" s="350"/>
      <c r="AO9" s="350"/>
      <c r="AP9" s="350"/>
      <c r="AQ9" s="350"/>
      <c r="AR9" s="350"/>
      <c r="AS9" s="350"/>
      <c r="AT9" s="350"/>
      <c r="AU9" s="350"/>
      <c r="AV9" s="350"/>
      <c r="AW9" s="350"/>
      <c r="AX9" s="350"/>
      <c r="AY9" s="4" t="e">
        <f t="shared" ca="1" si="6"/>
        <v>#REF!</v>
      </c>
    </row>
    <row r="10" spans="1:52" s="4" customFormat="1" x14ac:dyDescent="0.2">
      <c r="A10" s="161" t="s">
        <v>112</v>
      </c>
      <c r="B10" s="433" t="s">
        <v>469</v>
      </c>
      <c r="C10" s="562">
        <v>435.90551181102359</v>
      </c>
      <c r="D10" s="211"/>
      <c r="E10" s="165">
        <v>29.7</v>
      </c>
      <c r="F10" s="165">
        <v>0</v>
      </c>
      <c r="G10" s="270">
        <v>1300</v>
      </c>
      <c r="H10" s="270">
        <v>58</v>
      </c>
      <c r="I10" s="212"/>
      <c r="J10" s="276">
        <v>0</v>
      </c>
      <c r="K10" s="271">
        <v>123.99</v>
      </c>
      <c r="L10" s="213"/>
      <c r="M10" s="467">
        <f t="shared" si="0"/>
        <v>1387.7</v>
      </c>
      <c r="N10" s="467" t="e">
        <f t="shared" si="1"/>
        <v>#REF!</v>
      </c>
      <c r="O10" s="213"/>
      <c r="P10" s="469" t="e">
        <f>MAX($P$5:$Q$5)+IF($B$2="mil",1,0.0254)*DDR2Specs!$B$9</f>
        <v>#REF!</v>
      </c>
      <c r="Q10" s="469" t="e">
        <f>MIN($P$5:$Q$5)+IF($B$2="mil",1,0.0254)*DDR2Specs!$C$9</f>
        <v>#REF!</v>
      </c>
      <c r="R10" s="470" t="e">
        <f t="shared" si="2"/>
        <v>#REF!</v>
      </c>
      <c r="S10" s="471" t="e">
        <f t="shared" si="3"/>
        <v>#REF!</v>
      </c>
      <c r="T10" s="472" t="e">
        <f t="shared" si="7"/>
        <v>#REF!</v>
      </c>
      <c r="U10" s="473" t="e">
        <f t="shared" si="4"/>
        <v>#REF!</v>
      </c>
      <c r="V10" s="473" t="e">
        <f t="shared" si="8"/>
        <v>#REF!</v>
      </c>
      <c r="W10" s="473" t="e">
        <f t="shared" si="5"/>
        <v>#REF!</v>
      </c>
      <c r="X10" s="473" t="e">
        <f t="shared" si="9"/>
        <v>#REF!</v>
      </c>
      <c r="Y10" s="473" t="e">
        <f t="shared" si="10"/>
        <v>#REF!</v>
      </c>
      <c r="Z10" s="474" t="e">
        <f t="shared" ca="1" si="11"/>
        <v>#NAME?</v>
      </c>
      <c r="AA10" s="350"/>
      <c r="AB10" s="350"/>
      <c r="AC10" s="350"/>
      <c r="AD10" s="350"/>
      <c r="AE10" s="350"/>
      <c r="AF10" s="350"/>
      <c r="AG10" s="350"/>
      <c r="AH10" s="350"/>
      <c r="AI10" s="350"/>
      <c r="AJ10" s="350"/>
      <c r="AK10" s="350"/>
      <c r="AL10" s="350"/>
      <c r="AM10" s="350"/>
      <c r="AN10" s="350"/>
      <c r="AO10" s="350"/>
      <c r="AP10" s="350"/>
      <c r="AQ10" s="350"/>
      <c r="AR10" s="350"/>
      <c r="AS10" s="350"/>
      <c r="AT10" s="350"/>
      <c r="AU10" s="350"/>
      <c r="AV10" s="350"/>
      <c r="AW10" s="350"/>
      <c r="AX10" s="350"/>
      <c r="AY10" s="4" t="e">
        <f t="shared" ca="1" si="6"/>
        <v>#REF!</v>
      </c>
    </row>
    <row r="11" spans="1:52" s="4" customFormat="1" x14ac:dyDescent="0.2">
      <c r="A11" s="161" t="s">
        <v>113</v>
      </c>
      <c r="B11" s="433" t="s">
        <v>470</v>
      </c>
      <c r="C11" s="562">
        <v>381.06299212598429</v>
      </c>
      <c r="D11" s="211"/>
      <c r="E11" s="165">
        <v>29.7</v>
      </c>
      <c r="F11" s="165">
        <v>0</v>
      </c>
      <c r="G11" s="270">
        <v>1296.2</v>
      </c>
      <c r="H11" s="270">
        <v>117.39</v>
      </c>
      <c r="I11" s="212"/>
      <c r="J11" s="276">
        <v>0</v>
      </c>
      <c r="K11" s="271">
        <v>52.53</v>
      </c>
      <c r="L11" s="213"/>
      <c r="M11" s="467">
        <f t="shared" si="0"/>
        <v>1443.2900000000002</v>
      </c>
      <c r="N11" s="467" t="e">
        <f t="shared" si="1"/>
        <v>#REF!</v>
      </c>
      <c r="O11" s="213"/>
      <c r="P11" s="469" t="e">
        <f>MAX($P$5:$Q$5)+IF($B$2="mil",1,0.0254)*DDR2Specs!$B$9</f>
        <v>#REF!</v>
      </c>
      <c r="Q11" s="469" t="e">
        <f>MIN($P$5:$Q$5)+IF($B$2="mil",1,0.0254)*DDR2Specs!$C$9</f>
        <v>#REF!</v>
      </c>
      <c r="R11" s="470" t="e">
        <f t="shared" si="2"/>
        <v>#REF!</v>
      </c>
      <c r="S11" s="471" t="e">
        <f t="shared" si="3"/>
        <v>#REF!</v>
      </c>
      <c r="T11" s="472" t="e">
        <f t="shared" si="7"/>
        <v>#REF!</v>
      </c>
      <c r="U11" s="473" t="e">
        <f t="shared" si="4"/>
        <v>#REF!</v>
      </c>
      <c r="V11" s="473" t="e">
        <f t="shared" si="8"/>
        <v>#REF!</v>
      </c>
      <c r="W11" s="473" t="e">
        <f t="shared" si="5"/>
        <v>#REF!</v>
      </c>
      <c r="X11" s="473" t="e">
        <f t="shared" si="9"/>
        <v>#REF!</v>
      </c>
      <c r="Y11" s="473" t="e">
        <f t="shared" si="10"/>
        <v>#REF!</v>
      </c>
      <c r="Z11" s="474" t="e">
        <f t="shared" ca="1" si="11"/>
        <v>#NAME?</v>
      </c>
      <c r="AA11" s="350"/>
      <c r="AB11" s="350"/>
      <c r="AC11" s="350"/>
      <c r="AD11" s="350"/>
      <c r="AE11" s="350"/>
      <c r="AF11" s="350"/>
      <c r="AG11" s="350"/>
      <c r="AH11" s="350"/>
      <c r="AI11" s="350"/>
      <c r="AJ11" s="350"/>
      <c r="AK11" s="350"/>
      <c r="AL11" s="350"/>
      <c r="AM11" s="350"/>
      <c r="AN11" s="350"/>
      <c r="AO11" s="350"/>
      <c r="AP11" s="350"/>
      <c r="AQ11" s="350"/>
      <c r="AR11" s="350"/>
      <c r="AS11" s="350"/>
      <c r="AT11" s="350"/>
      <c r="AU11" s="350"/>
      <c r="AV11" s="350"/>
      <c r="AW11" s="350"/>
      <c r="AX11" s="350"/>
      <c r="AY11" s="4" t="e">
        <f t="shared" ca="1" si="6"/>
        <v>#REF!</v>
      </c>
    </row>
    <row r="12" spans="1:52" s="4" customFormat="1" x14ac:dyDescent="0.2">
      <c r="A12" s="161" t="s">
        <v>114</v>
      </c>
      <c r="B12" s="433" t="s">
        <v>471</v>
      </c>
      <c r="C12" s="562">
        <v>420.03937007874021</v>
      </c>
      <c r="D12" s="211"/>
      <c r="E12" s="165">
        <v>29.7</v>
      </c>
      <c r="F12" s="165">
        <v>0</v>
      </c>
      <c r="G12" s="270">
        <v>1217.5</v>
      </c>
      <c r="H12" s="270">
        <v>111.23</v>
      </c>
      <c r="I12" s="212"/>
      <c r="J12" s="276">
        <v>0</v>
      </c>
      <c r="K12" s="271">
        <v>83.88</v>
      </c>
      <c r="L12" s="213"/>
      <c r="M12" s="467">
        <f t="shared" si="0"/>
        <v>1358.43</v>
      </c>
      <c r="N12" s="467" t="e">
        <f t="shared" si="1"/>
        <v>#REF!</v>
      </c>
      <c r="O12" s="213"/>
      <c r="P12" s="469" t="e">
        <f>MAX($P$5:$Q$5)+IF($B$2="mil",1,0.0254)*DDR2Specs!$B$9</f>
        <v>#REF!</v>
      </c>
      <c r="Q12" s="469" t="e">
        <f>MIN($P$5:$Q$5)+IF($B$2="mil",1,0.0254)*DDR2Specs!$C$9</f>
        <v>#REF!</v>
      </c>
      <c r="R12" s="470" t="e">
        <f t="shared" si="2"/>
        <v>#REF!</v>
      </c>
      <c r="S12" s="471" t="e">
        <f t="shared" si="3"/>
        <v>#REF!</v>
      </c>
      <c r="T12" s="472" t="e">
        <f t="shared" si="7"/>
        <v>#REF!</v>
      </c>
      <c r="U12" s="473" t="e">
        <f t="shared" si="4"/>
        <v>#REF!</v>
      </c>
      <c r="V12" s="473" t="e">
        <f t="shared" si="8"/>
        <v>#REF!</v>
      </c>
      <c r="W12" s="473" t="e">
        <f t="shared" si="5"/>
        <v>#REF!</v>
      </c>
      <c r="X12" s="473" t="e">
        <f t="shared" si="9"/>
        <v>#REF!</v>
      </c>
      <c r="Y12" s="473" t="e">
        <f t="shared" si="10"/>
        <v>#REF!</v>
      </c>
      <c r="Z12" s="474" t="e">
        <f t="shared" ca="1" si="11"/>
        <v>#NAME?</v>
      </c>
      <c r="AA12" s="350"/>
      <c r="AB12" s="350"/>
      <c r="AC12" s="350"/>
      <c r="AD12" s="350"/>
      <c r="AE12" s="350"/>
      <c r="AF12" s="350"/>
      <c r="AG12" s="350"/>
      <c r="AH12" s="350"/>
      <c r="AI12" s="350"/>
      <c r="AJ12" s="350"/>
      <c r="AK12" s="350"/>
      <c r="AL12" s="350"/>
      <c r="AM12" s="350"/>
      <c r="AN12" s="350"/>
      <c r="AO12" s="350"/>
      <c r="AP12" s="350"/>
      <c r="AQ12" s="350"/>
      <c r="AR12" s="350"/>
      <c r="AS12" s="350"/>
      <c r="AT12" s="350"/>
      <c r="AU12" s="350"/>
      <c r="AV12" s="350"/>
      <c r="AW12" s="350"/>
      <c r="AX12" s="350"/>
      <c r="AY12" s="4" t="e">
        <f t="shared" ca="1" si="6"/>
        <v>#REF!</v>
      </c>
    </row>
    <row r="13" spans="1:52" s="4" customFormat="1" x14ac:dyDescent="0.2">
      <c r="A13" s="161" t="s">
        <v>116</v>
      </c>
      <c r="B13" s="433" t="s">
        <v>472</v>
      </c>
      <c r="C13" s="562">
        <v>468.89763779527561</v>
      </c>
      <c r="D13" s="211"/>
      <c r="E13" s="165">
        <v>29.7</v>
      </c>
      <c r="F13" s="165">
        <v>0</v>
      </c>
      <c r="G13" s="270">
        <v>1308.9000000000001</v>
      </c>
      <c r="H13" s="270">
        <v>62.51</v>
      </c>
      <c r="I13" s="212"/>
      <c r="J13" s="276">
        <v>0</v>
      </c>
      <c r="K13" s="271">
        <v>104.42</v>
      </c>
      <c r="L13" s="213"/>
      <c r="M13" s="467">
        <f t="shared" si="0"/>
        <v>1401.1100000000001</v>
      </c>
      <c r="N13" s="467" t="e">
        <f t="shared" si="1"/>
        <v>#REF!</v>
      </c>
      <c r="O13" s="213"/>
      <c r="P13" s="469" t="e">
        <f>MAX($P$5:$Q$5)+IF($B$2="mil",1,0.0254)*DDR2Specs!$B$9</f>
        <v>#REF!</v>
      </c>
      <c r="Q13" s="469" t="e">
        <f>MIN($P$5:$Q$5)+IF($B$2="mil",1,0.0254)*DDR2Specs!$C$9</f>
        <v>#REF!</v>
      </c>
      <c r="R13" s="470" t="e">
        <f t="shared" si="2"/>
        <v>#REF!</v>
      </c>
      <c r="S13" s="471" t="e">
        <f t="shared" si="3"/>
        <v>#REF!</v>
      </c>
      <c r="T13" s="472" t="e">
        <f t="shared" si="7"/>
        <v>#REF!</v>
      </c>
      <c r="U13" s="473" t="e">
        <f t="shared" si="4"/>
        <v>#REF!</v>
      </c>
      <c r="V13" s="473" t="e">
        <f t="shared" si="8"/>
        <v>#REF!</v>
      </c>
      <c r="W13" s="473" t="e">
        <f t="shared" si="5"/>
        <v>#REF!</v>
      </c>
      <c r="X13" s="473" t="e">
        <f t="shared" si="9"/>
        <v>#REF!</v>
      </c>
      <c r="Y13" s="473" t="e">
        <f t="shared" si="10"/>
        <v>#REF!</v>
      </c>
      <c r="Z13" s="474" t="e">
        <f t="shared" ca="1" si="11"/>
        <v>#NAME?</v>
      </c>
      <c r="AA13" s="350"/>
      <c r="AB13" s="350"/>
      <c r="AC13" s="350"/>
      <c r="AD13" s="350"/>
      <c r="AE13" s="350"/>
      <c r="AF13" s="350"/>
      <c r="AG13" s="350"/>
      <c r="AH13" s="350"/>
      <c r="AI13" s="350"/>
      <c r="AJ13" s="350"/>
      <c r="AK13" s="350"/>
      <c r="AL13" s="350"/>
      <c r="AM13" s="350"/>
      <c r="AN13" s="350"/>
      <c r="AO13" s="350"/>
      <c r="AP13" s="350"/>
      <c r="AQ13" s="350"/>
      <c r="AR13" s="350"/>
      <c r="AS13" s="350"/>
      <c r="AT13" s="350"/>
      <c r="AU13" s="350"/>
      <c r="AV13" s="350"/>
      <c r="AW13" s="350"/>
      <c r="AX13" s="350"/>
      <c r="AY13" s="4" t="e">
        <f t="shared" ca="1" si="6"/>
        <v>#REF!</v>
      </c>
    </row>
    <row r="14" spans="1:52" s="4" customFormat="1" x14ac:dyDescent="0.2">
      <c r="A14" s="161" t="s">
        <v>117</v>
      </c>
      <c r="B14" s="433" t="s">
        <v>357</v>
      </c>
      <c r="C14" s="562">
        <v>508.74015748031502</v>
      </c>
      <c r="D14" s="211"/>
      <c r="E14" s="165">
        <v>29.7</v>
      </c>
      <c r="F14" s="165">
        <v>0</v>
      </c>
      <c r="G14" s="270">
        <v>1215.96</v>
      </c>
      <c r="H14" s="270">
        <v>115.4</v>
      </c>
      <c r="I14" s="212"/>
      <c r="J14" s="276">
        <v>0</v>
      </c>
      <c r="K14" s="271">
        <v>72.38</v>
      </c>
      <c r="L14" s="213"/>
      <c r="M14" s="467">
        <f t="shared" si="0"/>
        <v>1361.0600000000002</v>
      </c>
      <c r="N14" s="467" t="e">
        <f t="shared" si="1"/>
        <v>#REF!</v>
      </c>
      <c r="O14" s="213"/>
      <c r="P14" s="469" t="e">
        <f>MAX($P$5:$Q$5)+IF($B$2="mil",1,0.0254)*DDR2Specs!$B$9</f>
        <v>#REF!</v>
      </c>
      <c r="Q14" s="469" t="e">
        <f>MIN($P$5:$Q$5)+IF($B$2="mil",1,0.0254)*DDR2Specs!$C$9</f>
        <v>#REF!</v>
      </c>
      <c r="R14" s="470" t="e">
        <f t="shared" si="2"/>
        <v>#REF!</v>
      </c>
      <c r="S14" s="471" t="e">
        <f t="shared" si="3"/>
        <v>#REF!</v>
      </c>
      <c r="T14" s="472" t="e">
        <f t="shared" si="7"/>
        <v>#REF!</v>
      </c>
      <c r="U14" s="473" t="e">
        <f t="shared" si="4"/>
        <v>#REF!</v>
      </c>
      <c r="V14" s="473" t="e">
        <f t="shared" si="8"/>
        <v>#REF!</v>
      </c>
      <c r="W14" s="473" t="e">
        <f t="shared" si="5"/>
        <v>#REF!</v>
      </c>
      <c r="X14" s="473" t="e">
        <f t="shared" si="9"/>
        <v>#REF!</v>
      </c>
      <c r="Y14" s="473" t="e">
        <f t="shared" si="10"/>
        <v>#REF!</v>
      </c>
      <c r="Z14" s="474" t="e">
        <f t="shared" ca="1" si="11"/>
        <v>#NAME?</v>
      </c>
      <c r="AA14" s="350"/>
      <c r="AB14" s="350"/>
      <c r="AC14" s="350"/>
      <c r="AD14" s="350"/>
      <c r="AE14" s="350"/>
      <c r="AF14" s="350"/>
      <c r="AG14" s="350"/>
      <c r="AH14" s="350"/>
      <c r="AI14" s="350"/>
      <c r="AJ14" s="350"/>
      <c r="AK14" s="350"/>
      <c r="AL14" s="350"/>
      <c r="AM14" s="350"/>
      <c r="AN14" s="350"/>
      <c r="AO14" s="350"/>
      <c r="AP14" s="350"/>
      <c r="AQ14" s="350"/>
      <c r="AR14" s="350"/>
      <c r="AS14" s="350"/>
      <c r="AT14" s="350"/>
      <c r="AU14" s="350"/>
      <c r="AV14" s="350"/>
      <c r="AW14" s="350"/>
      <c r="AX14" s="350"/>
      <c r="AY14" s="4" t="e">
        <f t="shared" ca="1" si="6"/>
        <v>#REF!</v>
      </c>
    </row>
    <row r="15" spans="1:52" s="4" customFormat="1" x14ac:dyDescent="0.2">
      <c r="A15" s="161" t="s">
        <v>118</v>
      </c>
      <c r="B15" s="433" t="s">
        <v>473</v>
      </c>
      <c r="C15" s="562">
        <v>529.40944881889766</v>
      </c>
      <c r="D15" s="211"/>
      <c r="E15" s="165">
        <v>29.7</v>
      </c>
      <c r="F15" s="165">
        <v>0</v>
      </c>
      <c r="G15" s="270">
        <v>1162.28</v>
      </c>
      <c r="H15" s="270">
        <v>119.25</v>
      </c>
      <c r="I15" s="212"/>
      <c r="J15" s="276">
        <v>0</v>
      </c>
      <c r="K15" s="271">
        <v>104.68</v>
      </c>
      <c r="L15" s="213"/>
      <c r="M15" s="467">
        <f t="shared" si="0"/>
        <v>1311.23</v>
      </c>
      <c r="N15" s="467" t="e">
        <f t="shared" si="1"/>
        <v>#REF!</v>
      </c>
      <c r="O15" s="213"/>
      <c r="P15" s="469" t="e">
        <f>MAX($P$5:$Q$5)+IF($B$2="mil",1,0.0254)*DDR2Specs!$B$9</f>
        <v>#REF!</v>
      </c>
      <c r="Q15" s="469" t="e">
        <f>MIN($P$5:$Q$5)+IF($B$2="mil",1,0.0254)*DDR2Specs!$C$9</f>
        <v>#REF!</v>
      </c>
      <c r="R15" s="470" t="e">
        <f t="shared" si="2"/>
        <v>#REF!</v>
      </c>
      <c r="S15" s="471" t="e">
        <f t="shared" si="3"/>
        <v>#REF!</v>
      </c>
      <c r="T15" s="472" t="e">
        <f t="shared" si="7"/>
        <v>#REF!</v>
      </c>
      <c r="U15" s="473" t="e">
        <f t="shared" si="4"/>
        <v>#REF!</v>
      </c>
      <c r="V15" s="473" t="e">
        <f t="shared" si="8"/>
        <v>#REF!</v>
      </c>
      <c r="W15" s="473" t="e">
        <f t="shared" si="5"/>
        <v>#REF!</v>
      </c>
      <c r="X15" s="473" t="e">
        <f t="shared" si="9"/>
        <v>#REF!</v>
      </c>
      <c r="Y15" s="473" t="e">
        <f t="shared" si="10"/>
        <v>#REF!</v>
      </c>
      <c r="Z15" s="474" t="e">
        <f t="shared" ca="1" si="11"/>
        <v>#NAME?</v>
      </c>
      <c r="AA15" s="350"/>
      <c r="AB15" s="350"/>
      <c r="AC15" s="350"/>
      <c r="AD15" s="350"/>
      <c r="AE15" s="350"/>
      <c r="AF15" s="350"/>
      <c r="AG15" s="350"/>
      <c r="AH15" s="350"/>
      <c r="AI15" s="350"/>
      <c r="AJ15" s="350"/>
      <c r="AK15" s="350"/>
      <c r="AL15" s="350"/>
      <c r="AM15" s="350"/>
      <c r="AN15" s="350"/>
      <c r="AO15" s="350"/>
      <c r="AP15" s="350"/>
      <c r="AQ15" s="350"/>
      <c r="AR15" s="350"/>
      <c r="AS15" s="350"/>
      <c r="AT15" s="350"/>
      <c r="AU15" s="350"/>
      <c r="AV15" s="350"/>
      <c r="AW15" s="350"/>
      <c r="AX15" s="350"/>
      <c r="AY15" s="4" t="e">
        <f t="shared" ca="1" si="6"/>
        <v>#REF!</v>
      </c>
    </row>
    <row r="16" spans="1:52" s="4" customFormat="1" x14ac:dyDescent="0.2">
      <c r="A16" s="161" t="s">
        <v>120</v>
      </c>
      <c r="B16" s="433" t="s">
        <v>358</v>
      </c>
      <c r="C16" s="562">
        <v>442.40157480314963</v>
      </c>
      <c r="D16" s="211"/>
      <c r="E16" s="165">
        <v>29.7</v>
      </c>
      <c r="F16" s="165">
        <v>0</v>
      </c>
      <c r="G16" s="270">
        <v>1247.99</v>
      </c>
      <c r="H16" s="270">
        <v>155.77000000000001</v>
      </c>
      <c r="I16" s="212"/>
      <c r="J16" s="276">
        <v>0</v>
      </c>
      <c r="K16" s="271">
        <v>83.15</v>
      </c>
      <c r="L16" s="213"/>
      <c r="M16" s="467">
        <f t="shared" si="0"/>
        <v>1433.46</v>
      </c>
      <c r="N16" s="467" t="e">
        <f t="shared" si="1"/>
        <v>#REF!</v>
      </c>
      <c r="O16" s="213"/>
      <c r="P16" s="469" t="e">
        <f>MAX($P$5:$Q$5)+IF($B$2="mil",1,0.0254)*DDR2Specs!$B$9</f>
        <v>#REF!</v>
      </c>
      <c r="Q16" s="469" t="e">
        <f>MIN($P$5:$Q$5)+IF($B$2="mil",1,0.0254)*DDR2Specs!$C$9</f>
        <v>#REF!</v>
      </c>
      <c r="R16" s="470" t="e">
        <f t="shared" si="2"/>
        <v>#REF!</v>
      </c>
      <c r="S16" s="471" t="e">
        <f t="shared" si="3"/>
        <v>#REF!</v>
      </c>
      <c r="T16" s="472" t="e">
        <f t="shared" si="7"/>
        <v>#REF!</v>
      </c>
      <c r="U16" s="473" t="e">
        <f t="shared" si="4"/>
        <v>#REF!</v>
      </c>
      <c r="V16" s="473" t="e">
        <f t="shared" si="8"/>
        <v>#REF!</v>
      </c>
      <c r="W16" s="473" t="e">
        <f t="shared" si="5"/>
        <v>#REF!</v>
      </c>
      <c r="X16" s="473" t="e">
        <f t="shared" si="9"/>
        <v>#REF!</v>
      </c>
      <c r="Y16" s="473" t="e">
        <f t="shared" si="10"/>
        <v>#REF!</v>
      </c>
      <c r="Z16" s="474" t="e">
        <f t="shared" ca="1" si="11"/>
        <v>#NAME?</v>
      </c>
      <c r="AA16" s="350"/>
      <c r="AB16" s="350"/>
      <c r="AC16" s="350"/>
      <c r="AD16" s="350"/>
      <c r="AE16" s="350"/>
      <c r="AF16" s="350"/>
      <c r="AG16" s="350"/>
      <c r="AH16" s="350"/>
      <c r="AI16" s="350"/>
      <c r="AJ16" s="350"/>
      <c r="AK16" s="350"/>
      <c r="AL16" s="350"/>
      <c r="AM16" s="350"/>
      <c r="AN16" s="350"/>
      <c r="AO16" s="350"/>
      <c r="AP16" s="350"/>
      <c r="AQ16" s="350"/>
      <c r="AR16" s="350"/>
      <c r="AS16" s="350"/>
      <c r="AT16" s="350"/>
      <c r="AU16" s="350"/>
      <c r="AV16" s="350"/>
      <c r="AW16" s="350"/>
      <c r="AX16" s="350"/>
      <c r="AY16" s="4" t="e">
        <f t="shared" ca="1" si="6"/>
        <v>#REF!</v>
      </c>
    </row>
    <row r="17" spans="1:51" s="4" customFormat="1" x14ac:dyDescent="0.2">
      <c r="A17" s="161" t="s">
        <v>122</v>
      </c>
      <c r="B17" s="433" t="s">
        <v>97</v>
      </c>
      <c r="C17" s="562">
        <v>397.71653543307087</v>
      </c>
      <c r="D17" s="211"/>
      <c r="E17" s="165">
        <v>29.7</v>
      </c>
      <c r="F17" s="165">
        <v>0</v>
      </c>
      <c r="G17" s="270">
        <v>1277.98</v>
      </c>
      <c r="H17" s="270">
        <v>58</v>
      </c>
      <c r="I17" s="212"/>
      <c r="J17" s="276">
        <v>0</v>
      </c>
      <c r="K17" s="271">
        <v>128.94999999999999</v>
      </c>
      <c r="L17" s="213"/>
      <c r="M17" s="467">
        <f t="shared" si="0"/>
        <v>1365.68</v>
      </c>
      <c r="N17" s="467" t="e">
        <f t="shared" si="1"/>
        <v>#REF!</v>
      </c>
      <c r="O17" s="213"/>
      <c r="P17" s="469" t="e">
        <f>MAX($P$5:$Q$5)+IF($B$2="mil",1,0.0254)*DDR2Specs!$B$9</f>
        <v>#REF!</v>
      </c>
      <c r="Q17" s="469" t="e">
        <f>MIN($P$5:$Q$5)+IF($B$2="mil",1,0.0254)*DDR2Specs!$C$9</f>
        <v>#REF!</v>
      </c>
      <c r="R17" s="470" t="e">
        <f t="shared" si="2"/>
        <v>#REF!</v>
      </c>
      <c r="S17" s="471" t="e">
        <f t="shared" si="3"/>
        <v>#REF!</v>
      </c>
      <c r="T17" s="472" t="e">
        <f t="shared" si="7"/>
        <v>#REF!</v>
      </c>
      <c r="U17" s="473" t="e">
        <f t="shared" si="4"/>
        <v>#REF!</v>
      </c>
      <c r="V17" s="473" t="e">
        <f t="shared" si="8"/>
        <v>#REF!</v>
      </c>
      <c r="W17" s="473" t="e">
        <f t="shared" si="5"/>
        <v>#REF!</v>
      </c>
      <c r="X17" s="473" t="e">
        <f t="shared" si="9"/>
        <v>#REF!</v>
      </c>
      <c r="Y17" s="473" t="e">
        <f t="shared" si="10"/>
        <v>#REF!</v>
      </c>
      <c r="Z17" s="474" t="e">
        <f t="shared" ca="1" si="11"/>
        <v>#NAME?</v>
      </c>
      <c r="AA17" s="350"/>
      <c r="AB17" s="350"/>
      <c r="AC17" s="350"/>
      <c r="AD17" s="350"/>
      <c r="AE17" s="350"/>
      <c r="AF17" s="350"/>
      <c r="AG17" s="350"/>
      <c r="AH17" s="350"/>
      <c r="AI17" s="350"/>
      <c r="AJ17" s="350"/>
      <c r="AK17" s="350"/>
      <c r="AL17" s="350"/>
      <c r="AM17" s="350"/>
      <c r="AN17" s="350"/>
      <c r="AO17" s="350"/>
      <c r="AP17" s="350"/>
      <c r="AQ17" s="350"/>
      <c r="AR17" s="350"/>
      <c r="AS17" s="350"/>
      <c r="AT17" s="350"/>
      <c r="AU17" s="350"/>
      <c r="AV17" s="350"/>
      <c r="AW17" s="350"/>
      <c r="AX17" s="350"/>
      <c r="AY17" s="4" t="e">
        <f t="shared" ca="1" si="6"/>
        <v>#REF!</v>
      </c>
    </row>
    <row r="18" spans="1:51" s="4" customFormat="1" x14ac:dyDescent="0.2">
      <c r="A18" s="161" t="s">
        <v>123</v>
      </c>
      <c r="B18" s="433" t="s">
        <v>474</v>
      </c>
      <c r="C18" s="562">
        <v>543.54330708661416</v>
      </c>
      <c r="D18" s="211"/>
      <c r="E18" s="165">
        <v>29.7</v>
      </c>
      <c r="F18" s="165">
        <v>0</v>
      </c>
      <c r="G18" s="270">
        <v>1210.58</v>
      </c>
      <c r="H18" s="270">
        <v>82.56</v>
      </c>
      <c r="I18" s="212"/>
      <c r="J18" s="276">
        <v>0</v>
      </c>
      <c r="K18" s="271">
        <v>121.39</v>
      </c>
      <c r="L18" s="213"/>
      <c r="M18" s="467">
        <f t="shared" si="0"/>
        <v>1322.84</v>
      </c>
      <c r="N18" s="467" t="e">
        <f t="shared" si="1"/>
        <v>#REF!</v>
      </c>
      <c r="O18" s="213"/>
      <c r="P18" s="469" t="e">
        <f>MAX($P$5:$Q$5)+IF($B$2="mil",1,0.0254)*DDR2Specs!$B$9</f>
        <v>#REF!</v>
      </c>
      <c r="Q18" s="469" t="e">
        <f>MIN($P$5:$Q$5)+IF($B$2="mil",1,0.0254)*DDR2Specs!$C$9</f>
        <v>#REF!</v>
      </c>
      <c r="R18" s="470" t="e">
        <f t="shared" si="2"/>
        <v>#REF!</v>
      </c>
      <c r="S18" s="471" t="e">
        <f t="shared" si="3"/>
        <v>#REF!</v>
      </c>
      <c r="T18" s="472" t="e">
        <f t="shared" si="7"/>
        <v>#REF!</v>
      </c>
      <c r="U18" s="473" t="e">
        <f t="shared" si="4"/>
        <v>#REF!</v>
      </c>
      <c r="V18" s="473" t="e">
        <f t="shared" si="8"/>
        <v>#REF!</v>
      </c>
      <c r="W18" s="473" t="e">
        <f t="shared" si="5"/>
        <v>#REF!</v>
      </c>
      <c r="X18" s="473" t="e">
        <f t="shared" si="9"/>
        <v>#REF!</v>
      </c>
      <c r="Y18" s="473" t="e">
        <f t="shared" si="10"/>
        <v>#REF!</v>
      </c>
      <c r="Z18" s="474" t="e">
        <f t="shared" ca="1" si="11"/>
        <v>#NAME?</v>
      </c>
      <c r="AA18" s="350"/>
      <c r="AB18" s="350"/>
      <c r="AC18" s="350"/>
      <c r="AD18" s="350"/>
      <c r="AE18" s="350"/>
      <c r="AF18" s="350"/>
      <c r="AG18" s="350"/>
      <c r="AH18" s="350"/>
      <c r="AI18" s="350"/>
      <c r="AJ18" s="350"/>
      <c r="AK18" s="350"/>
      <c r="AL18" s="350"/>
      <c r="AM18" s="350"/>
      <c r="AN18" s="350"/>
      <c r="AO18" s="350"/>
      <c r="AP18" s="350"/>
      <c r="AQ18" s="350"/>
      <c r="AR18" s="350"/>
      <c r="AS18" s="350"/>
      <c r="AT18" s="350"/>
      <c r="AU18" s="350"/>
      <c r="AV18" s="350"/>
      <c r="AW18" s="350"/>
      <c r="AX18" s="350"/>
      <c r="AY18" s="4" t="e">
        <f t="shared" ca="1" si="6"/>
        <v>#REF!</v>
      </c>
    </row>
    <row r="19" spans="1:51" s="4" customFormat="1" x14ac:dyDescent="0.2">
      <c r="A19" s="161" t="s">
        <v>124</v>
      </c>
      <c r="B19" s="433" t="s">
        <v>475</v>
      </c>
      <c r="C19" s="562">
        <v>492.79527559055117</v>
      </c>
      <c r="D19" s="211"/>
      <c r="E19" s="165">
        <v>29.7</v>
      </c>
      <c r="F19" s="165">
        <v>0</v>
      </c>
      <c r="G19" s="270">
        <v>1294.0999999999999</v>
      </c>
      <c r="H19" s="270">
        <v>119.05</v>
      </c>
      <c r="I19" s="212"/>
      <c r="J19" s="276">
        <v>0</v>
      </c>
      <c r="K19" s="271">
        <v>135.99</v>
      </c>
      <c r="L19" s="213"/>
      <c r="M19" s="467">
        <f t="shared" si="0"/>
        <v>1442.85</v>
      </c>
      <c r="N19" s="467" t="e">
        <f t="shared" si="1"/>
        <v>#REF!</v>
      </c>
      <c r="O19" s="213"/>
      <c r="P19" s="469" t="e">
        <f>MAX($P$5:$Q$5)+IF($B$2="mil",1,0.0254)*DDR2Specs!$B$9</f>
        <v>#REF!</v>
      </c>
      <c r="Q19" s="469" t="e">
        <f>MIN($P$5:$Q$5)+IF($B$2="mil",1,0.0254)*DDR2Specs!$C$9</f>
        <v>#REF!</v>
      </c>
      <c r="R19" s="470" t="e">
        <f t="shared" si="2"/>
        <v>#REF!</v>
      </c>
      <c r="S19" s="471" t="e">
        <f t="shared" si="3"/>
        <v>#REF!</v>
      </c>
      <c r="T19" s="472" t="e">
        <f t="shared" si="7"/>
        <v>#REF!</v>
      </c>
      <c r="U19" s="473" t="e">
        <f t="shared" si="4"/>
        <v>#REF!</v>
      </c>
      <c r="V19" s="473" t="e">
        <f t="shared" si="8"/>
        <v>#REF!</v>
      </c>
      <c r="W19" s="473" t="e">
        <f t="shared" si="5"/>
        <v>#REF!</v>
      </c>
      <c r="X19" s="473" t="e">
        <f t="shared" si="9"/>
        <v>#REF!</v>
      </c>
      <c r="Y19" s="473" t="e">
        <f t="shared" si="10"/>
        <v>#REF!</v>
      </c>
      <c r="Z19" s="474" t="e">
        <f t="shared" ca="1" si="11"/>
        <v>#NAME?</v>
      </c>
      <c r="AA19" s="350"/>
      <c r="AB19" s="350"/>
      <c r="AC19" s="350"/>
      <c r="AD19" s="350"/>
      <c r="AE19" s="350"/>
      <c r="AF19" s="350"/>
      <c r="AG19" s="350"/>
      <c r="AH19" s="350"/>
      <c r="AI19" s="350"/>
      <c r="AJ19" s="350"/>
      <c r="AK19" s="350"/>
      <c r="AL19" s="350"/>
      <c r="AM19" s="350"/>
      <c r="AN19" s="350"/>
      <c r="AO19" s="350"/>
      <c r="AP19" s="350"/>
      <c r="AQ19" s="350"/>
      <c r="AR19" s="350"/>
      <c r="AS19" s="350"/>
      <c r="AT19" s="350"/>
      <c r="AU19" s="350"/>
      <c r="AV19" s="350"/>
      <c r="AW19" s="350"/>
      <c r="AX19" s="350"/>
      <c r="AY19" s="4" t="e">
        <f t="shared" ca="1" si="6"/>
        <v>#REF!</v>
      </c>
    </row>
    <row r="20" spans="1:51" s="4" customFormat="1" x14ac:dyDescent="0.2">
      <c r="A20" s="161" t="s">
        <v>126</v>
      </c>
      <c r="B20" s="433" t="s">
        <v>355</v>
      </c>
      <c r="C20" s="562">
        <v>514.48818897637796</v>
      </c>
      <c r="D20" s="332"/>
      <c r="E20" s="165">
        <v>29.7</v>
      </c>
      <c r="F20" s="165">
        <v>0</v>
      </c>
      <c r="G20" s="270">
        <v>1148.02</v>
      </c>
      <c r="H20" s="270">
        <v>58.41</v>
      </c>
      <c r="I20" s="212"/>
      <c r="J20" s="276">
        <v>0</v>
      </c>
      <c r="K20" s="271">
        <v>124.92</v>
      </c>
      <c r="L20" s="213"/>
      <c r="M20" s="467">
        <f t="shared" si="0"/>
        <v>1236.1300000000001</v>
      </c>
      <c r="N20" s="467" t="e">
        <f t="shared" si="1"/>
        <v>#REF!</v>
      </c>
      <c r="O20" s="213"/>
      <c r="P20" s="469" t="e">
        <f>MAX($P$5:$Q$5)+IF($B$2="mil",1,0.0254)*DDR2Specs!$B$9</f>
        <v>#REF!</v>
      </c>
      <c r="Q20" s="469" t="e">
        <f>MIN($P$5:$Q$5)+IF($B$2="mil",1,0.0254)*DDR2Specs!$C$9</f>
        <v>#REF!</v>
      </c>
      <c r="R20" s="470" t="e">
        <f t="shared" si="2"/>
        <v>#REF!</v>
      </c>
      <c r="S20" s="471" t="e">
        <f t="shared" si="3"/>
        <v>#REF!</v>
      </c>
      <c r="T20" s="472" t="e">
        <f t="shared" si="7"/>
        <v>#REF!</v>
      </c>
      <c r="U20" s="473" t="e">
        <f t="shared" si="4"/>
        <v>#REF!</v>
      </c>
      <c r="V20" s="473" t="e">
        <f t="shared" si="8"/>
        <v>#REF!</v>
      </c>
      <c r="W20" s="473" t="e">
        <f t="shared" si="5"/>
        <v>#REF!</v>
      </c>
      <c r="X20" s="473" t="e">
        <f t="shared" si="9"/>
        <v>#REF!</v>
      </c>
      <c r="Y20" s="473" t="e">
        <f t="shared" si="10"/>
        <v>#REF!</v>
      </c>
      <c r="Z20" s="474" t="e">
        <f t="shared" ca="1" si="11"/>
        <v>#NAME?</v>
      </c>
      <c r="AA20" s="350"/>
      <c r="AB20" s="350"/>
      <c r="AC20" s="350"/>
      <c r="AD20" s="350"/>
      <c r="AE20" s="350"/>
      <c r="AF20" s="350"/>
      <c r="AG20" s="350"/>
      <c r="AH20" s="350"/>
      <c r="AI20" s="350"/>
      <c r="AJ20" s="350"/>
      <c r="AK20" s="350"/>
      <c r="AL20" s="350"/>
      <c r="AM20" s="350"/>
      <c r="AN20" s="350"/>
      <c r="AO20" s="350"/>
      <c r="AP20" s="350"/>
      <c r="AQ20" s="350"/>
      <c r="AR20" s="350"/>
      <c r="AS20" s="350"/>
      <c r="AT20" s="350"/>
      <c r="AU20" s="350"/>
      <c r="AV20" s="350"/>
      <c r="AW20" s="350"/>
      <c r="AX20" s="350"/>
      <c r="AY20" s="4" t="e">
        <f t="shared" ca="1" si="6"/>
        <v>#REF!</v>
      </c>
    </row>
    <row r="21" spans="1:51" s="4" customFormat="1" ht="11.25" x14ac:dyDescent="0.2">
      <c r="A21" s="415" t="s">
        <v>287</v>
      </c>
      <c r="B21" s="134"/>
      <c r="C21" s="566"/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249"/>
      <c r="O21" s="155"/>
      <c r="P21" s="155"/>
      <c r="Q21" s="476"/>
      <c r="R21" s="477"/>
      <c r="S21" s="477"/>
      <c r="T21" s="155"/>
      <c r="U21" s="155"/>
      <c r="V21" s="385"/>
      <c r="W21" s="155"/>
      <c r="X21" s="155"/>
      <c r="Y21" s="155"/>
      <c r="Z21" s="155"/>
      <c r="AA21" s="416"/>
      <c r="AB21" s="416"/>
      <c r="AC21" s="416"/>
      <c r="AD21" s="416"/>
      <c r="AE21" s="416"/>
      <c r="AF21" s="416"/>
      <c r="AG21" s="416"/>
      <c r="AH21" s="416"/>
      <c r="AI21" s="416"/>
      <c r="AJ21" s="416"/>
      <c r="AK21" s="416"/>
      <c r="AL21" s="416"/>
      <c r="AM21" s="416"/>
      <c r="AN21" s="416"/>
      <c r="AO21" s="416"/>
      <c r="AP21" s="416"/>
      <c r="AQ21" s="416"/>
      <c r="AR21" s="416"/>
      <c r="AS21" s="416"/>
      <c r="AT21" s="416"/>
      <c r="AU21" s="416"/>
      <c r="AV21" s="416"/>
      <c r="AW21" s="416"/>
      <c r="AX21" s="416"/>
    </row>
    <row r="22" spans="1:51" s="4" customFormat="1" x14ac:dyDescent="0.2">
      <c r="A22" s="161" t="s">
        <v>128</v>
      </c>
      <c r="B22" s="433" t="s">
        <v>81</v>
      </c>
      <c r="C22" s="562">
        <v>428.58267716535431</v>
      </c>
      <c r="D22" s="332"/>
      <c r="E22" s="165">
        <v>29.7</v>
      </c>
      <c r="F22" s="165">
        <v>0</v>
      </c>
      <c r="G22" s="270">
        <v>1240.99</v>
      </c>
      <c r="H22" s="270">
        <v>101.4</v>
      </c>
      <c r="I22" s="212"/>
      <c r="J22" s="276">
        <v>0</v>
      </c>
      <c r="K22" s="271">
        <v>78.7</v>
      </c>
      <c r="L22" s="213"/>
      <c r="M22" s="467">
        <f xml:space="preserve"> E22+F22+G22+H22</f>
        <v>1372.0900000000001</v>
      </c>
      <c r="N22" s="467" t="e">
        <f>IF($B$2="mil",1,0.0254)*C22+ M22</f>
        <v>#REF!</v>
      </c>
      <c r="O22" s="213"/>
      <c r="P22" s="469" t="e">
        <f>MAX($P$5:$Q$5)+IF($B$2="mil",1,0.0254)*DDR2Specs!$B$9</f>
        <v>#REF!</v>
      </c>
      <c r="Q22" s="469" t="e">
        <f>MIN($P$5:$Q$5)+IF($B$2="mil",1,0.0254)*DDR2Specs!$C$9</f>
        <v>#REF!</v>
      </c>
      <c r="R22" s="470" t="e">
        <f>IF($N22&lt;$P22,$P22-$N22,"Pass")</f>
        <v>#REF!</v>
      </c>
      <c r="S22" s="471" t="e">
        <f>IF($N22&gt;$Q22,$N22-$Q22,"Pass")</f>
        <v>#REF!</v>
      </c>
      <c r="T22" s="472" t="e">
        <f>IF($E22&lt;=IF($B$2="mil",1,0.0254)*50,"Pass",IF($B$2="mil",1,0.0254)*50-$E22)</f>
        <v>#REF!</v>
      </c>
      <c r="U22" s="473" t="e">
        <f>IF($F22&lt;=IF($B$2="mil",1,0.0254)*500,"Pass",IF($B$2="mil",1,0.0254)*500-$F22)</f>
        <v>#REF!</v>
      </c>
      <c r="V22" s="473" t="e">
        <f>IF($H22&lt;=IF($B$2="mil",1,0.0254)*200,"Pass",IF($B$2="mil",1,0.0254)*200-$H22)</f>
        <v>#REF!</v>
      </c>
      <c r="W22" s="473" t="e">
        <f>IF(AND($M22&gt;=IF($B$2="mil",1,0.0254)*500, $M22&lt;=IF($B$2="mil",1,0.0254)*4500),"Pass",IF($B$2="mil",1,0.0254)*4500-$M22)</f>
        <v>#REF!</v>
      </c>
      <c r="X22" s="473" t="e">
        <f>IF(AND($N22&gt;=IF($B$2="mil",1,0.0254)*500, $N22&lt;=IF($B$2="mil",1,0.0254)*5000),"Pass",IF($B$2="mil",1,0.0254)*5000-$N22)</f>
        <v>#REF!</v>
      </c>
      <c r="Y22" s="473" t="e">
        <f t="shared" si="10"/>
        <v>#REF!</v>
      </c>
      <c r="Z22" s="474" t="e">
        <f ca="1">CheckLength2(IF($B$2="mil",1,0.0254)*1500,J22,K22,0)</f>
        <v>#NAME?</v>
      </c>
      <c r="AA22" s="350"/>
      <c r="AB22" s="350"/>
      <c r="AC22" s="350"/>
      <c r="AD22" s="350"/>
      <c r="AE22" s="350"/>
      <c r="AF22" s="350"/>
      <c r="AG22" s="350"/>
      <c r="AH22" s="350"/>
      <c r="AI22" s="350"/>
      <c r="AJ22" s="350"/>
      <c r="AK22" s="350"/>
      <c r="AL22" s="350"/>
      <c r="AM22" s="350"/>
      <c r="AN22" s="350"/>
      <c r="AO22" s="350"/>
      <c r="AP22" s="350"/>
      <c r="AQ22" s="350"/>
      <c r="AR22" s="350"/>
      <c r="AS22" s="350"/>
      <c r="AT22" s="350"/>
      <c r="AU22" s="350"/>
      <c r="AV22" s="350"/>
      <c r="AW22" s="350"/>
      <c r="AX22" s="350"/>
      <c r="AY22" s="4" t="e">
        <f ca="1">IF(AND(R22="Pass",S22="Pass",T22="Pass",U22="Pass",V22="Pass",W22="Pass",X22="Pass",Y22="Pass",Z22="Pass"),"Pass","Fail")</f>
        <v>#REF!</v>
      </c>
    </row>
    <row r="23" spans="1:51" s="4" customFormat="1" x14ac:dyDescent="0.2">
      <c r="A23" s="215" t="s">
        <v>130</v>
      </c>
      <c r="B23" s="433" t="s">
        <v>119</v>
      </c>
      <c r="C23" s="562">
        <v>331.69291338582678</v>
      </c>
      <c r="D23" s="332"/>
      <c r="E23" s="165">
        <v>29.7</v>
      </c>
      <c r="F23" s="165">
        <v>0</v>
      </c>
      <c r="G23" s="270">
        <v>1310.83</v>
      </c>
      <c r="H23" s="270">
        <v>61.6</v>
      </c>
      <c r="I23" s="212"/>
      <c r="J23" s="276">
        <v>0</v>
      </c>
      <c r="K23" s="271">
        <v>81.19</v>
      </c>
      <c r="L23" s="213"/>
      <c r="M23" s="467">
        <f xml:space="preserve"> E23+F23+G23+H23</f>
        <v>1402.1299999999999</v>
      </c>
      <c r="N23" s="467" t="e">
        <f>IF($B$2="mil",1,0.0254)*C23+ M23</f>
        <v>#REF!</v>
      </c>
      <c r="O23" s="213"/>
      <c r="P23" s="469" t="e">
        <f>MAX($P$5:$Q$5)+IF($B$2="mil",1,0.0254)*DDR2Specs!$B$9</f>
        <v>#REF!</v>
      </c>
      <c r="Q23" s="469" t="e">
        <f>MIN($P$5:$Q$5)+IF($B$2="mil",1,0.0254)*DDR2Specs!$C$9</f>
        <v>#REF!</v>
      </c>
      <c r="R23" s="470" t="e">
        <f>IF($N23&lt;$P23,$P23-$N23,"Pass")</f>
        <v>#REF!</v>
      </c>
      <c r="S23" s="471" t="e">
        <f>IF($N23&gt;$Q23,$N23-$Q23,"Pass")</f>
        <v>#REF!</v>
      </c>
      <c r="T23" s="472" t="e">
        <f>IF($E23&lt;=IF($B$2="mil",1,0.0254)*50,"Pass",IF($B$2="mil",1,0.0254)*50-$E23)</f>
        <v>#REF!</v>
      </c>
      <c r="U23" s="473" t="e">
        <f>IF($F23&lt;=IF($B$2="mil",1,0.0254)*500,"Pass",IF($B$2="mil",1,0.0254)*500-$F23)</f>
        <v>#REF!</v>
      </c>
      <c r="V23" s="473" t="e">
        <f>IF($H23&lt;=IF($B$2="mil",1,0.0254)*200,"Pass",IF($B$2="mil",1,0.0254)*200-$H23)</f>
        <v>#REF!</v>
      </c>
      <c r="W23" s="473" t="e">
        <f>IF(AND($M23&gt;=IF($B$2="mil",1,0.0254)*500, $M23&lt;=IF($B$2="mil",1,0.0254)*4500),"Pass",IF($B$2="mil",1,0.0254)*4500-$M23)</f>
        <v>#REF!</v>
      </c>
      <c r="X23" s="473" t="e">
        <f>IF(AND($N23&gt;=IF($B$2="mil",1,0.0254)*500, $N23&lt;=IF($B$2="mil",1,0.0254)*5000),"Pass",IF($B$2="mil",1,0.0254)*5000-$N23)</f>
        <v>#REF!</v>
      </c>
      <c r="Y23" s="473" t="e">
        <f t="shared" si="10"/>
        <v>#REF!</v>
      </c>
      <c r="Z23" s="474" t="e">
        <f ca="1">CheckLength2(IF($B$2="mil",1,0.0254)*1500,J23,K23,0)</f>
        <v>#NAME?</v>
      </c>
      <c r="AA23" s="350"/>
      <c r="AB23" s="350"/>
      <c r="AC23" s="350"/>
      <c r="AD23" s="350"/>
      <c r="AE23" s="350"/>
      <c r="AF23" s="350"/>
      <c r="AG23" s="350"/>
      <c r="AH23" s="350"/>
      <c r="AI23" s="350"/>
      <c r="AJ23" s="350"/>
      <c r="AK23" s="350"/>
      <c r="AL23" s="350"/>
      <c r="AM23" s="350"/>
      <c r="AN23" s="350"/>
      <c r="AO23" s="350"/>
      <c r="AP23" s="350"/>
      <c r="AQ23" s="350"/>
      <c r="AR23" s="350"/>
      <c r="AS23" s="350"/>
      <c r="AT23" s="350"/>
      <c r="AU23" s="350"/>
      <c r="AV23" s="350"/>
      <c r="AW23" s="350"/>
      <c r="AX23" s="350"/>
      <c r="AY23" s="4" t="e">
        <f ca="1">IF(AND(R23="Pass",S23="Pass",T23="Pass",U23="Pass",V23="Pass",W23="Pass",X23="Pass",Y23="Pass",Z23="Pass"),"Pass","Fail")</f>
        <v>#REF!</v>
      </c>
    </row>
    <row r="24" spans="1:51" s="4" customFormat="1" x14ac:dyDescent="0.2">
      <c r="A24" s="215" t="s">
        <v>131</v>
      </c>
      <c r="B24" s="433" t="s">
        <v>400</v>
      </c>
      <c r="C24" s="562">
        <v>384.5275590551181</v>
      </c>
      <c r="D24" s="332"/>
      <c r="E24" s="165">
        <v>29.7</v>
      </c>
      <c r="F24" s="165">
        <v>0</v>
      </c>
      <c r="G24" s="270">
        <v>1020.23</v>
      </c>
      <c r="H24" s="270">
        <v>161.81</v>
      </c>
      <c r="I24" s="212"/>
      <c r="J24" s="276">
        <v>0</v>
      </c>
      <c r="K24" s="271">
        <v>86.15</v>
      </c>
      <c r="L24" s="213"/>
      <c r="M24" s="467">
        <f xml:space="preserve"> E24+F24+G24+H24</f>
        <v>1211.74</v>
      </c>
      <c r="N24" s="467" t="e">
        <f>IF($B$2="mil",1,0.0254)*C24+ M24</f>
        <v>#REF!</v>
      </c>
      <c r="O24" s="213"/>
      <c r="P24" s="469" t="e">
        <f>MAX($P$5:$Q$5)+IF($B$2="mil",1,0.0254)*DDR2Specs!$B$9</f>
        <v>#REF!</v>
      </c>
      <c r="Q24" s="469" t="e">
        <f>MIN($P$5:$Q$5)+IF($B$2="mil",1,0.0254)*DDR2Specs!$C$9</f>
        <v>#REF!</v>
      </c>
      <c r="R24" s="470" t="e">
        <f>IF($N24&lt;$P24,$P24-$N24,"Pass")</f>
        <v>#REF!</v>
      </c>
      <c r="S24" s="471" t="e">
        <f>IF($N24&gt;$Q24,$N24-$Q24,"Pass")</f>
        <v>#REF!</v>
      </c>
      <c r="T24" s="472" t="e">
        <f>IF($E24&lt;=IF($B$2="mil",1,0.0254)*50,"Pass",IF($B$2="mil",1,0.0254)*50-$E24)</f>
        <v>#REF!</v>
      </c>
      <c r="U24" s="473" t="e">
        <f>IF($F24&lt;=IF($B$2="mil",1,0.0254)*500,"Pass",IF($B$2="mil",1,0.0254)*500-$F24)</f>
        <v>#REF!</v>
      </c>
      <c r="V24" s="473" t="e">
        <f>IF($H24&lt;=IF($B$2="mil",1,0.0254)*200,"Pass",IF($B$2="mil",1,0.0254)*200-$H24)</f>
        <v>#REF!</v>
      </c>
      <c r="W24" s="473" t="e">
        <f>IF(AND($M24&gt;=IF($B$2="mil",1,0.0254)*500, $M24&lt;=IF($B$2="mil",1,0.0254)*4500),"Pass",IF($B$2="mil",1,0.0254)*4500-$M24)</f>
        <v>#REF!</v>
      </c>
      <c r="X24" s="473" t="e">
        <f>IF(AND($N24&gt;=IF($B$2="mil",1,0.0254)*500, $N24&lt;=IF($B$2="mil",1,0.0254)*5000),"Pass",IF($B$2="mil",1,0.0254)*5000-$N24)</f>
        <v>#REF!</v>
      </c>
      <c r="Y24" s="473" t="e">
        <f t="shared" si="10"/>
        <v>#REF!</v>
      </c>
      <c r="Z24" s="474" t="e">
        <f ca="1">CheckLength2(IF($B$2="mil",1,0.0254)*1500,J24,K24,0)</f>
        <v>#NAME?</v>
      </c>
      <c r="AA24" s="350"/>
      <c r="AB24" s="350"/>
      <c r="AC24" s="350"/>
      <c r="AD24" s="350"/>
      <c r="AE24" s="350"/>
      <c r="AF24" s="350"/>
      <c r="AG24" s="350"/>
      <c r="AH24" s="350"/>
      <c r="AI24" s="350"/>
      <c r="AJ24" s="350"/>
      <c r="AK24" s="350"/>
      <c r="AL24" s="350"/>
      <c r="AM24" s="350"/>
      <c r="AN24" s="350"/>
      <c r="AO24" s="350"/>
      <c r="AP24" s="350"/>
      <c r="AQ24" s="350"/>
      <c r="AR24" s="350"/>
      <c r="AS24" s="350"/>
      <c r="AT24" s="350"/>
      <c r="AU24" s="350"/>
      <c r="AV24" s="350"/>
      <c r="AW24" s="350"/>
      <c r="AX24" s="350"/>
      <c r="AY24" s="4" t="e">
        <f ca="1">IF(AND(R24="Pass",S24="Pass",T24="Pass",U24="Pass",V24="Pass",W24="Pass",X24="Pass",Y24="Pass",Z24="Pass"),"Pass","Fail")</f>
        <v>#REF!</v>
      </c>
    </row>
    <row r="25" spans="1:51" s="218" customFormat="1" ht="11.25" x14ac:dyDescent="0.2">
      <c r="A25" s="415" t="s">
        <v>288</v>
      </c>
      <c r="B25" s="134"/>
      <c r="C25" s="567"/>
      <c r="D25" s="134"/>
      <c r="E25" s="134"/>
      <c r="F25" s="134"/>
      <c r="G25" s="134"/>
      <c r="H25" s="134"/>
      <c r="I25" s="134"/>
      <c r="J25" s="134"/>
      <c r="K25" s="134"/>
      <c r="L25" s="134"/>
      <c r="M25" s="134"/>
      <c r="N25" s="250"/>
      <c r="O25" s="134"/>
      <c r="P25" s="134"/>
      <c r="Q25" s="134"/>
      <c r="R25" s="250"/>
      <c r="S25" s="250"/>
      <c r="T25" s="134"/>
      <c r="U25" s="134"/>
      <c r="V25" s="386"/>
      <c r="W25" s="134"/>
      <c r="X25" s="134"/>
      <c r="Y25" s="155"/>
      <c r="Z25" s="155"/>
    </row>
    <row r="26" spans="1:51" s="4" customFormat="1" x14ac:dyDescent="0.2">
      <c r="A26" s="161" t="s">
        <v>132</v>
      </c>
      <c r="B26" s="433" t="s">
        <v>493</v>
      </c>
      <c r="C26" s="562">
        <v>462.71653543307087</v>
      </c>
      <c r="D26" s="332"/>
      <c r="E26" s="165">
        <v>29.7</v>
      </c>
      <c r="F26" s="165">
        <v>0</v>
      </c>
      <c r="G26" s="270">
        <v>1247.8699999999999</v>
      </c>
      <c r="H26" s="270">
        <v>107.82</v>
      </c>
      <c r="I26" s="212"/>
      <c r="J26" s="276">
        <v>0</v>
      </c>
      <c r="K26" s="271">
        <v>47.81</v>
      </c>
      <c r="L26" s="213"/>
      <c r="M26" s="467">
        <f xml:space="preserve"> E26+F26+G26+H26</f>
        <v>1385.3899999999999</v>
      </c>
      <c r="N26" s="467" t="e">
        <f>IF($B$2="mil",1,0.0254)*C26+ M26</f>
        <v>#REF!</v>
      </c>
      <c r="O26" s="213"/>
      <c r="P26" s="469" t="e">
        <f>MAX($P$5:$Q$5)+IF($B$2="mil",1,0.0254)*DDR2Specs!$B$9</f>
        <v>#REF!</v>
      </c>
      <c r="Q26" s="469" t="e">
        <f>MIN($P$5:$Q$5)+IF($B$2="mil",1,0.0254)*DDR2Specs!$C$9</f>
        <v>#REF!</v>
      </c>
      <c r="R26" s="470" t="e">
        <f>IF($N26&lt;$P26,$P26-$N26,"Pass")</f>
        <v>#REF!</v>
      </c>
      <c r="S26" s="471" t="e">
        <f>IF($N26&gt;$Q26,$N26-$Q26,"Pass")</f>
        <v>#REF!</v>
      </c>
      <c r="T26" s="472" t="e">
        <f>IF($E26&lt;=IF($B$2="mil",1,0.0254)*50,"Pass",IF($B$2="mil",1,0.0254)*50-$E26)</f>
        <v>#REF!</v>
      </c>
      <c r="U26" s="473" t="e">
        <f>IF($F26&lt;=IF($B$2="mil",1,0.0254)*500,"Pass",IF($B$2="mil",1,0.0254)*500-$F26)</f>
        <v>#REF!</v>
      </c>
      <c r="V26" s="473" t="e">
        <f>IF($H26&lt;=IF($B$2="mil",1,0.0254)*200,"Pass",IF($B$2="mil",1,0.0254)*200-$H26)</f>
        <v>#REF!</v>
      </c>
      <c r="W26" s="473" t="e">
        <f>IF(AND($M26&gt;=IF($B$2="mil",1,0.0254)*500, $M26&lt;=IF($B$2="mil",1,0.0254)*4500),"Pass",IF($B$2="mil",1,0.0254)*4500-$M26)</f>
        <v>#REF!</v>
      </c>
      <c r="X26" s="473" t="e">
        <f>IF(AND($N26&gt;=IF($B$2="mil",1,0.0254)*500, $N26&lt;=IF($B$2="mil",1,0.0254)*5000),"Pass",IF($B$2="mil",1,0.0254)*5000-$N26)</f>
        <v>#REF!</v>
      </c>
      <c r="Y26" s="473" t="e">
        <f t="shared" si="10"/>
        <v>#REF!</v>
      </c>
      <c r="Z26" s="474" t="e">
        <f ca="1">CheckLength2(IF($B$2="mil",1,0.0254)*1500,J26,K26,0)</f>
        <v>#NAME?</v>
      </c>
      <c r="AA26" s="350"/>
      <c r="AB26" s="350"/>
      <c r="AC26" s="350"/>
      <c r="AD26" s="350"/>
      <c r="AE26" s="350"/>
      <c r="AF26" s="350"/>
      <c r="AG26" s="350"/>
      <c r="AH26" s="350"/>
      <c r="AI26" s="350"/>
      <c r="AJ26" s="350"/>
      <c r="AK26" s="350"/>
      <c r="AL26" s="350"/>
      <c r="AM26" s="350"/>
      <c r="AN26" s="350"/>
      <c r="AO26" s="350"/>
      <c r="AP26" s="350"/>
      <c r="AQ26" s="350"/>
      <c r="AR26" s="350"/>
      <c r="AS26" s="350"/>
      <c r="AT26" s="350"/>
      <c r="AU26" s="350"/>
      <c r="AV26" s="350"/>
      <c r="AW26" s="350"/>
      <c r="AX26" s="350"/>
      <c r="AY26" s="4" t="e">
        <f ca="1">IF(AND(R26="Pass",S26="Pass",T26="Pass",U26="Pass",V26="Pass",W26="Pass",X26="Pass",Y26="Pass",Z26="Pass"),"Pass","Fail")</f>
        <v>#REF!</v>
      </c>
    </row>
    <row r="27" spans="1:51" s="4" customFormat="1" x14ac:dyDescent="0.2">
      <c r="A27" s="214" t="s">
        <v>134</v>
      </c>
      <c r="B27" s="433" t="s">
        <v>373</v>
      </c>
      <c r="C27" s="562">
        <v>452.16535433070862</v>
      </c>
      <c r="D27" s="332"/>
      <c r="E27" s="165">
        <v>29.7</v>
      </c>
      <c r="F27" s="165">
        <v>0</v>
      </c>
      <c r="G27" s="270">
        <v>1293.8399999999999</v>
      </c>
      <c r="H27" s="270">
        <v>125.94</v>
      </c>
      <c r="I27" s="212"/>
      <c r="J27" s="276">
        <v>0</v>
      </c>
      <c r="K27" s="271">
        <v>36.69</v>
      </c>
      <c r="L27" s="213"/>
      <c r="M27" s="467">
        <f xml:space="preserve"> E27+F27+G27+H27</f>
        <v>1449.48</v>
      </c>
      <c r="N27" s="467" t="e">
        <f>IF($B$2="mil",1,0.0254)*C27+ M27</f>
        <v>#REF!</v>
      </c>
      <c r="O27" s="213"/>
      <c r="P27" s="469" t="e">
        <f>MAX($P$5:$Q$5)+IF($B$2="mil",1,0.0254)*DDR2Specs!$B$9</f>
        <v>#REF!</v>
      </c>
      <c r="Q27" s="469" t="e">
        <f>MIN($P$5:$Q$5)+IF($B$2="mil",1,0.0254)*DDR2Specs!$C$9</f>
        <v>#REF!</v>
      </c>
      <c r="R27" s="470" t="e">
        <f>IF($N27&lt;$P27,$P27-$N27,"Pass")</f>
        <v>#REF!</v>
      </c>
      <c r="S27" s="471" t="e">
        <f>IF($N27&gt;$Q27,$N27-$Q27,"Pass")</f>
        <v>#REF!</v>
      </c>
      <c r="T27" s="472" t="e">
        <f>IF($E27&lt;=IF($B$2="mil",1,0.0254)*50,"Pass",IF($B$2="mil",1,0.0254)*50-$E27)</f>
        <v>#REF!</v>
      </c>
      <c r="U27" s="473" t="e">
        <f>IF($F27&lt;=IF($B$2="mil",1,0.0254)*500,"Pass",IF($B$2="mil",1,0.0254)*500-$F27)</f>
        <v>#REF!</v>
      </c>
      <c r="V27" s="473" t="e">
        <f>IF($H27&lt;=IF($B$2="mil",1,0.0254)*200,"Pass",IF($B$2="mil",1,0.0254)*200-$H27)</f>
        <v>#REF!</v>
      </c>
      <c r="W27" s="473" t="e">
        <f>IF(AND($M27&gt;=IF($B$2="mil",1,0.0254)*500, $M27&lt;=IF($B$2="mil",1,0.0254)*4500),"Pass",IF($B$2="mil",1,0.0254)*4500-$M27)</f>
        <v>#REF!</v>
      </c>
      <c r="X27" s="473" t="e">
        <f>IF(AND($N27&gt;=IF($B$2="mil",1,0.0254)*500, $N27&lt;=IF($B$2="mil",1,0.0254)*5000),"Pass",IF($B$2="mil",1,0.0254)*5000-$N27)</f>
        <v>#REF!</v>
      </c>
      <c r="Y27" s="473" t="e">
        <f t="shared" si="10"/>
        <v>#REF!</v>
      </c>
      <c r="Z27" s="474" t="e">
        <f ca="1">CheckLength2(IF($B$2="mil",1,0.0254)*1500,J27,K27,0)</f>
        <v>#NAME?</v>
      </c>
      <c r="AA27" s="350"/>
      <c r="AB27" s="350"/>
      <c r="AC27" s="350"/>
      <c r="AD27" s="350"/>
      <c r="AE27" s="350"/>
      <c r="AF27" s="350"/>
      <c r="AG27" s="350"/>
      <c r="AH27" s="350"/>
      <c r="AI27" s="350"/>
      <c r="AJ27" s="350"/>
      <c r="AK27" s="350"/>
      <c r="AL27" s="350"/>
      <c r="AM27" s="350"/>
      <c r="AN27" s="350"/>
      <c r="AO27" s="350"/>
      <c r="AP27" s="350"/>
      <c r="AQ27" s="350"/>
      <c r="AR27" s="350"/>
      <c r="AS27" s="350"/>
      <c r="AT27" s="350"/>
      <c r="AU27" s="350"/>
      <c r="AV27" s="350"/>
      <c r="AW27" s="350"/>
      <c r="AX27" s="350"/>
      <c r="AY27" s="4" t="e">
        <f ca="1">IF(AND(R27="Pass",S27="Pass",T27="Pass",U27="Pass",V27="Pass",W27="Pass",X27="Pass",Y27="Pass",Z27="Pass"),"Pass","Fail")</f>
        <v>#REF!</v>
      </c>
    </row>
    <row r="28" spans="1:51" s="4" customFormat="1" x14ac:dyDescent="0.2">
      <c r="A28" s="214" t="s">
        <v>136</v>
      </c>
      <c r="B28" s="433" t="s">
        <v>125</v>
      </c>
      <c r="C28" s="562">
        <v>581.1811023622048</v>
      </c>
      <c r="D28" s="332"/>
      <c r="E28" s="165">
        <v>29.7</v>
      </c>
      <c r="F28" s="165">
        <v>0</v>
      </c>
      <c r="G28" s="270">
        <v>1340.09</v>
      </c>
      <c r="H28" s="270">
        <v>58</v>
      </c>
      <c r="I28" s="212"/>
      <c r="J28" s="276">
        <v>0</v>
      </c>
      <c r="K28" s="271">
        <v>103.63</v>
      </c>
      <c r="L28" s="213"/>
      <c r="M28" s="467">
        <f xml:space="preserve"> E28+F28+G28+H28</f>
        <v>1427.79</v>
      </c>
      <c r="N28" s="467" t="e">
        <f>IF($B$2="mil",1,0.0254)*C28+ M28</f>
        <v>#REF!</v>
      </c>
      <c r="O28" s="213"/>
      <c r="P28" s="479" t="e">
        <f>MAX($P$5:$Q$5)+IF($B$2="mil",1,0.0254)*DDR2Specs!$B$9</f>
        <v>#REF!</v>
      </c>
      <c r="Q28" s="479" t="e">
        <f>MIN($P$5:$Q$5)+IF($B$2="mil",1,0.0254)*DDR2Specs!$C$9</f>
        <v>#REF!</v>
      </c>
      <c r="R28" s="470" t="e">
        <f>IF($N28&lt;$P28,$P28-$N28,"Pass")</f>
        <v>#REF!</v>
      </c>
      <c r="S28" s="471" t="e">
        <f>IF($N28&gt;$Q28,$N28-$Q28,"Pass")</f>
        <v>#REF!</v>
      </c>
      <c r="T28" s="472" t="e">
        <f>IF($E28&lt;=IF($B$2="mil",1,0.0254)*50,"Pass",IF($B$2="mil",1,0.0254)*50-$E28)</f>
        <v>#REF!</v>
      </c>
      <c r="U28" s="473" t="e">
        <f>IF($F28&lt;=IF($B$2="mil",1,0.0254)*500,"Pass",IF($B$2="mil",1,0.0254)*500-$F28)</f>
        <v>#REF!</v>
      </c>
      <c r="V28" s="473" t="e">
        <f>IF($H28&lt;=IF($B$2="mil",1,0.0254)*200,"Pass",IF($B$2="mil",1,0.0254)*200-$H28)</f>
        <v>#REF!</v>
      </c>
      <c r="W28" s="473" t="e">
        <f>IF(AND($M28&gt;=IF($B$2="mil",1,0.0254)*500, $M28&lt;=IF($B$2="mil",1,0.0254)*4500),"Pass",IF($B$2="mil",1,0.0254)*4500-$M28)</f>
        <v>#REF!</v>
      </c>
      <c r="X28" s="473" t="e">
        <f>IF(AND($N28&gt;=IF($B$2="mil",1,0.0254)*500, $N28&lt;=IF($B$2="mil",1,0.0254)*5000),"Pass",IF($B$2="mil",1,0.0254)*5000-$N28)</f>
        <v>#REF!</v>
      </c>
      <c r="Y28" s="473" t="e">
        <f t="shared" si="10"/>
        <v>#REF!</v>
      </c>
      <c r="Z28" s="474" t="e">
        <f ca="1">CheckLength2(IF($B$2="mil",1,0.0254)*1500,J28,K28,0)</f>
        <v>#NAME?</v>
      </c>
      <c r="AA28" s="350"/>
      <c r="AB28" s="350"/>
      <c r="AC28" s="350"/>
      <c r="AD28" s="350"/>
      <c r="AE28" s="350"/>
      <c r="AF28" s="350"/>
      <c r="AG28" s="350"/>
      <c r="AH28" s="350"/>
      <c r="AI28" s="350"/>
      <c r="AJ28" s="350"/>
      <c r="AK28" s="350"/>
      <c r="AL28" s="350"/>
      <c r="AM28" s="350"/>
      <c r="AN28" s="350"/>
      <c r="AO28" s="350"/>
      <c r="AP28" s="350"/>
      <c r="AQ28" s="350"/>
      <c r="AR28" s="350"/>
      <c r="AS28" s="350"/>
      <c r="AT28" s="350"/>
      <c r="AU28" s="350"/>
      <c r="AV28" s="350"/>
      <c r="AW28" s="350"/>
      <c r="AX28" s="350"/>
      <c r="AY28" s="4" t="e">
        <f ca="1">IF(AND(R28="Pass",S28="Pass",T28="Pass",U28="Pass",V28="Pass",W28="Pass",X28="Pass",Y28="Pass",Z28="Pass"),"Pass","Fail")</f>
        <v>#REF!</v>
      </c>
    </row>
    <row r="29" spans="1:51" s="2" customFormat="1" x14ac:dyDescent="0.2">
      <c r="A29" s="46"/>
      <c r="B29" s="46"/>
      <c r="C29" s="569"/>
      <c r="D29" s="46"/>
      <c r="E29" s="46"/>
      <c r="F29" s="47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516"/>
      <c r="V29" s="516"/>
      <c r="W29" s="517"/>
      <c r="X29" s="46"/>
      <c r="Y29" s="46"/>
      <c r="Z29" s="454"/>
    </row>
    <row r="30" spans="1:51" s="133" customFormat="1" ht="59.25" customHeight="1" x14ac:dyDescent="0.2">
      <c r="A30" s="192" t="s">
        <v>494</v>
      </c>
      <c r="B30" s="123" t="s">
        <v>457</v>
      </c>
      <c r="C30" s="570" t="s">
        <v>70</v>
      </c>
      <c r="D30" s="130"/>
      <c r="E30" s="127" t="e">
        <f>"Escape
Length L0
 ["&amp;$B$2&amp;"]"</f>
        <v>#REF!</v>
      </c>
      <c r="F30" s="127" t="e">
        <f>"Breakout
Length L1
["&amp; $B$2&amp;"]"</f>
        <v>#REF!</v>
      </c>
      <c r="G30" s="127" t="e">
        <f>"Main
Length L2
[" &amp;$B$2&amp; " ]"</f>
        <v>#REF!</v>
      </c>
      <c r="H30" s="127"/>
      <c r="I30" s="129"/>
      <c r="J30" s="129" t="e">
        <f>"Via-to-via (SODIMM-to-Rt) L3 ["&amp;$B$2&amp;"]"</f>
        <v>#REF!</v>
      </c>
      <c r="K30" s="123" t="e">
        <f>"Via-to-Rt
L4 ["&amp;$B$2&amp;"]"</f>
        <v>#REF!</v>
      </c>
      <c r="L30" s="129"/>
      <c r="M30" s="123" t="e">
        <f>"Trace L5 ["&amp;$B$2&amp;"]"</f>
        <v>#REF!</v>
      </c>
      <c r="N30" s="123" t="e">
        <f>"Trace L6-1 ["&amp;$B$2&amp;"]"</f>
        <v>#REF!</v>
      </c>
      <c r="O30" s="130"/>
      <c r="P30" s="123" t="e">
        <f>"Trace L6-2 ["&amp;$B$2&amp;"]"</f>
        <v>#REF!</v>
      </c>
      <c r="Q30" s="123" t="e">
        <f>"Trace L7-1 ["&amp;$B$2&amp;"]"</f>
        <v>#REF!</v>
      </c>
      <c r="R30" s="123" t="e">
        <f>"Trace L8-1 to U1 ["&amp;$B$2&amp;"]"</f>
        <v>#REF!</v>
      </c>
      <c r="S30" s="123" t="e">
        <f>"Trace L8-2 to U5 ["&amp;$B$2&amp;"]"</f>
        <v>#REF!</v>
      </c>
      <c r="T30" s="123" t="e">
        <f>"Trace L9-1 to U1 ["&amp;$B$2&amp;"]"</f>
        <v>#REF!</v>
      </c>
      <c r="U30" s="123" t="e">
        <f>"Trace L9-2 to U5 ["&amp;$B$2&amp;"]"</f>
        <v>#REF!</v>
      </c>
      <c r="V30" s="123" t="e">
        <f>"Total MB Length to U1 (L0+L1+L2+L5+L6-1+L7-1+L8-1+L9-1) ["&amp;$B$2&amp;"]"</f>
        <v>#REF!</v>
      </c>
      <c r="W30" s="123" t="e">
        <f>"Total Pad to Pin U1 (P1+L0+L1+L2+L5+L6-1+L7-1+L8-1+L9-1) ["&amp;$B$2&amp;"]"</f>
        <v>#REF!</v>
      </c>
      <c r="X30" s="130" t="e">
        <f>"Target Min Length to U1
["&amp;$B$2&amp;"]"</f>
        <v>#REF!</v>
      </c>
      <c r="Y30" s="129" t="e">
        <f>"Target Max Length  to U1 
["&amp;$B$2&amp;"]"</f>
        <v>#REF!</v>
      </c>
      <c r="Z30" s="131" t="e">
        <f>"Routed Too Short  to U1 [" &amp;$B$2&amp;"]"</f>
        <v>#REF!</v>
      </c>
      <c r="AA30" s="130" t="e">
        <f>"Routed Too Long  to U1 [" &amp;$B$2&amp;"]"</f>
        <v>#REF!</v>
      </c>
      <c r="AB30" s="123" t="e">
        <f>"Total MB Length to U5 (L0+L1+L2+L5+L6-1+L7-1+L8-2+L9-2) ["&amp;$B$2&amp;"]"</f>
        <v>#REF!</v>
      </c>
      <c r="AC30" s="123" t="e">
        <f>"Total Pad to Pin U5 (P1+L0+L1+L2+L5+L6-1+L7-1+L8-2+L9-2) ["&amp;$B$2&amp;"]"</f>
        <v>#REF!</v>
      </c>
      <c r="AD30" s="130" t="e">
        <f>"Target Min Length to U5
["&amp;$B$2&amp;"]"</f>
        <v>#REF!</v>
      </c>
      <c r="AE30" s="129" t="e">
        <f>"Target Max Length  to U5 
["&amp;$B$2&amp;"]"</f>
        <v>#REF!</v>
      </c>
      <c r="AF30" s="131" t="e">
        <f>"Routed Too Short  to U5 [" &amp;$B$2&amp;"]"</f>
        <v>#REF!</v>
      </c>
      <c r="AG30" s="130" t="e">
        <f>"Routed Too Long  to U5 [" &amp;$B$2&amp;"]"</f>
        <v>#REF!</v>
      </c>
      <c r="AH30" s="132" t="e">
        <f>"L0 Length Test (&lt;=" &amp; IF($B$2="mil",1,0.0254)*50&amp;$B$2&amp;")"</f>
        <v>#REF!</v>
      </c>
      <c r="AI30" s="132" t="e">
        <f>"L1 Length Test (&lt;=" &amp; IF($B$2="mil",1,0.0254)*500&amp;$B$2&amp;")"</f>
        <v>#REF!</v>
      </c>
      <c r="AJ30" s="132" t="e">
        <f>"L3 Length Test (&lt;=" &amp; IF($B$2="mil",1,0.0254)*1000&amp;$B$2&amp;")"</f>
        <v>#REF!</v>
      </c>
      <c r="AK30" s="132" t="e">
        <f>"L4 Length Test (&lt;=" &amp; IF($B$2="mil",1,0.0254)*200&amp;$B$2&amp;") or (L3+L4&lt;= "&amp;IF($B$2="mil",1,0.0254)*1200&amp;$B$2&amp;")"</f>
        <v>#REF!</v>
      </c>
      <c r="AL30" s="132" t="e">
        <f>"L5 Length Test (&lt;=" &amp; IF($B$2="mil",1,0.0254)*2000&amp;$B$2&amp;")"</f>
        <v>#REF!</v>
      </c>
      <c r="AM30" s="132" t="e">
        <f>"L6-1 Length Test (&lt;=" &amp; IF($B$2="mil",1,0.0254)*1000&amp;$B$2&amp;")"</f>
        <v>#REF!</v>
      </c>
      <c r="AN30" s="132" t="s">
        <v>435</v>
      </c>
      <c r="AO30" s="132" t="e">
        <f>"L7-1 Length Test (&lt;=" &amp; IF($B$2="mil",1,0.0254)*1000&amp;$B$2&amp;")"</f>
        <v>#REF!</v>
      </c>
      <c r="AP30" s="132" t="e">
        <f>"Diff L7-1, L7-2, L7-3, L7-4 (&lt;="&amp;IF($B$2="mil",1,0.0254)*50&amp;$B$2&amp;")"</f>
        <v>#REF!</v>
      </c>
      <c r="AQ30" s="132" t="e">
        <f>"L8-1 Length Test (&lt;=" &amp; IF($B$2="mil",1,0.0254)*750&amp;$B$2&amp;")"</f>
        <v>#REF!</v>
      </c>
      <c r="AR30" s="132" t="e">
        <f>"L8-2 Length Test (&lt;=" &amp; IF($B$2="mil",1,0.0254)*750&amp;$B$2&amp;")"</f>
        <v>#REF!</v>
      </c>
      <c r="AS30" s="132" t="e">
        <f>"L9-1 Length Test (&lt;=" &amp; IF($B$2="mil",1,0.0254)*200&amp;$B$2&amp;") or (L8-1+L9-1&lt;= "&amp;IF($B$2="mil",1,0.0254)*950&amp;$B$2&amp;")"</f>
        <v>#REF!</v>
      </c>
      <c r="AT30" s="132" t="e">
        <f>"L9-2 Length Test (&lt;=" &amp; IF($B$2="mil",1,0.0254)*200&amp;$B$2&amp;") or (L8-2+L9-2&lt;= "&amp;IF($B$2="mil",1,0.0254)*950&amp;$B$2&amp;")"</f>
        <v>#REF!</v>
      </c>
      <c r="AU30" s="129" t="e">
        <f>"Total Length to U1 (L0+L1+L2+L5+L6-1+L7-1+L8-1+L9-1) Test
 ("&amp;IF($B$2="mil",1,0.0254)*500&amp;"-"&amp;IF($B$2="mil",1,0.0254)*6500&amp;IF($B$2="mil","mil","mm")&amp;")"</f>
        <v>#REF!</v>
      </c>
      <c r="AV30" s="129" t="e">
        <f>"Total Length to U1 (P1+L0+L1+L2+L5+L6-1+L7-1+L8-1+L9-1) Test
 (&lt;="&amp;IF($B$2="mil",1,25.4)*7000&amp;IF($B$2="mil","mil","mm")&amp;")"</f>
        <v>#REF!</v>
      </c>
      <c r="AW30" s="129" t="e">
        <f>"Total Length to U5 (L0+L1+L2+L5+L6-1+L7-1+L8-2+L9-2) Test
 ("&amp;IF($B$2="mil",1,0.0254)*500&amp;"-"&amp;IF($B$2="mil",1,0.0254)*6500&amp;IF($B$2="mil","mil","mm")&amp;")"</f>
        <v>#REF!</v>
      </c>
      <c r="AX30" s="129" t="e">
        <f>"Total Length to U5(P1+L0+L1+L2+L5+L6-1+L7-1+L8-2+L9-2) Test
 (&lt;="&amp;IF($B$2="mil",1,25.4)*7000&amp;IF($B$2="mil","mil","mm")&amp;")"</f>
        <v>#REF!</v>
      </c>
      <c r="AY30" s="4"/>
    </row>
    <row r="31" spans="1:51" s="4" customFormat="1" ht="11.25" x14ac:dyDescent="0.2">
      <c r="A31" s="134" t="s">
        <v>258</v>
      </c>
      <c r="B31" s="134"/>
      <c r="C31" s="566"/>
      <c r="D31" s="135"/>
      <c r="E31" s="135"/>
      <c r="F31" s="194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95"/>
      <c r="W31" s="195"/>
      <c r="X31" s="195"/>
      <c r="Y31" s="187"/>
      <c r="Z31" s="195"/>
      <c r="AA31" s="195"/>
      <c r="AB31" s="195"/>
      <c r="AC31" s="195"/>
      <c r="AD31" s="195"/>
      <c r="AE31" s="195"/>
      <c r="AF31" s="195"/>
      <c r="AG31" s="195"/>
      <c r="AH31" s="187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195"/>
      <c r="AV31" s="195"/>
      <c r="AW31" s="195"/>
      <c r="AX31" s="243"/>
    </row>
    <row r="32" spans="1:51" s="4" customFormat="1" ht="11.25" x14ac:dyDescent="0.2">
      <c r="A32" s="235" t="s">
        <v>262</v>
      </c>
      <c r="B32" s="141"/>
      <c r="C32" s="568"/>
      <c r="D32" s="142"/>
      <c r="E32" s="143"/>
      <c r="F32" s="196"/>
      <c r="G32" s="143"/>
      <c r="H32" s="143"/>
      <c r="I32" s="144"/>
      <c r="J32" s="144"/>
      <c r="K32" s="143"/>
      <c r="L32" s="144"/>
      <c r="M32" s="143"/>
      <c r="N32" s="143"/>
      <c r="O32" s="147"/>
      <c r="P32" s="143"/>
      <c r="Q32" s="143"/>
      <c r="R32" s="143"/>
      <c r="S32" s="143"/>
      <c r="T32" s="143"/>
      <c r="U32" s="143"/>
      <c r="V32" s="143"/>
      <c r="W32" s="502" t="s">
        <v>272</v>
      </c>
      <c r="X32" s="487" t="e">
        <f>MIN('DDR2 Clocks - 4L'!$O$5:$O$6)</f>
        <v>#REF!</v>
      </c>
      <c r="Y32" s="484" t="e">
        <f>MAX('DDR2 Clocks - 4L'!$O$5:$O$6)</f>
        <v>#REF!</v>
      </c>
      <c r="Z32" s="487"/>
      <c r="AA32" s="145"/>
      <c r="AB32" s="488"/>
      <c r="AC32" s="502" t="s">
        <v>332</v>
      </c>
      <c r="AD32" s="487" t="e">
        <f>MIN('DDR2 Clocks - 4L'!$O$7:$O$8)</f>
        <v>#REF!</v>
      </c>
      <c r="AE32" s="486" t="e">
        <f>MAX('DDR2 Clocks - 4L'!$O$7:$O$8)</f>
        <v>#REF!</v>
      </c>
      <c r="AF32" s="488"/>
      <c r="AG32" s="488"/>
      <c r="AH32" s="488"/>
      <c r="AI32" s="488"/>
      <c r="AJ32" s="483"/>
      <c r="AK32" s="483"/>
      <c r="AL32" s="483"/>
      <c r="AM32" s="483"/>
      <c r="AN32" s="483"/>
      <c r="AO32" s="483"/>
      <c r="AP32" s="483"/>
      <c r="AQ32" s="483"/>
      <c r="AR32" s="483"/>
      <c r="AS32" s="483"/>
      <c r="AT32" s="483"/>
      <c r="AU32" s="483"/>
      <c r="AV32" s="483"/>
      <c r="AW32" s="483"/>
      <c r="AX32" s="484"/>
    </row>
    <row r="33" spans="1:52" s="4" customFormat="1" ht="11.25" x14ac:dyDescent="0.2">
      <c r="A33" s="180" t="s">
        <v>277</v>
      </c>
      <c r="B33" s="134"/>
      <c r="C33" s="566"/>
      <c r="D33" s="155"/>
      <c r="E33" s="156"/>
      <c r="F33" s="198"/>
      <c r="G33" s="156"/>
      <c r="H33" s="156"/>
      <c r="I33" s="156"/>
      <c r="J33" s="157"/>
      <c r="K33" s="157"/>
      <c r="L33" s="156"/>
      <c r="M33" s="157"/>
      <c r="N33" s="157"/>
      <c r="O33" s="159"/>
      <c r="P33" s="157"/>
      <c r="Q33" s="157"/>
      <c r="R33" s="157"/>
      <c r="S33" s="157"/>
      <c r="T33" s="157"/>
      <c r="U33" s="157"/>
      <c r="V33" s="157"/>
      <c r="W33" s="244"/>
      <c r="X33" s="155"/>
      <c r="Y33" s="514"/>
      <c r="Z33" s="476"/>
      <c r="AA33" s="155"/>
      <c r="AB33" s="155"/>
      <c r="AC33" s="155"/>
      <c r="AD33" s="155"/>
      <c r="AE33" s="155"/>
      <c r="AF33" s="155"/>
      <c r="AG33" s="155"/>
      <c r="AH33" s="38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5"/>
      <c r="AS33" s="155"/>
      <c r="AT33" s="155"/>
      <c r="AU33" s="155"/>
      <c r="AV33" s="155"/>
      <c r="AW33" s="155"/>
      <c r="AX33" s="478"/>
    </row>
    <row r="34" spans="1:52" s="4" customFormat="1" x14ac:dyDescent="0.2">
      <c r="A34" s="161" t="s">
        <v>244</v>
      </c>
      <c r="B34" s="433" t="s">
        <v>129</v>
      </c>
      <c r="C34" s="562">
        <v>378.93700787401576</v>
      </c>
      <c r="D34" s="164"/>
      <c r="E34" s="199">
        <v>29.7</v>
      </c>
      <c r="F34" s="276">
        <v>0</v>
      </c>
      <c r="G34" s="270">
        <v>2264.34</v>
      </c>
      <c r="H34" s="295"/>
      <c r="I34" s="295"/>
      <c r="J34" s="294">
        <v>0</v>
      </c>
      <c r="K34" s="270">
        <v>42.88</v>
      </c>
      <c r="L34" s="296"/>
      <c r="M34" s="297">
        <v>700</v>
      </c>
      <c r="N34" s="363">
        <v>400</v>
      </c>
      <c r="O34" s="167"/>
      <c r="P34" s="270">
        <v>400</v>
      </c>
      <c r="Q34" s="270">
        <v>565.69000000000005</v>
      </c>
      <c r="R34" s="270">
        <v>100.03</v>
      </c>
      <c r="S34" s="270">
        <v>100.03</v>
      </c>
      <c r="T34" s="364">
        <v>50</v>
      </c>
      <c r="U34" s="364">
        <v>50</v>
      </c>
      <c r="V34" s="490">
        <f t="shared" ref="V34:V47" si="12">SUM($E34:$G34,$M34,$Q34:$R34,$N34,$T34)</f>
        <v>4109.76</v>
      </c>
      <c r="W34" s="469" t="e">
        <f>$V34+IF($B$2="mil",1,0.0254)*$C34</f>
        <v>#REF!</v>
      </c>
      <c r="X34" s="469" t="e">
        <f>$Y$32 + IF($B$2="mil",1,0.0254)*DDR2Specs!$E$9</f>
        <v>#REF!</v>
      </c>
      <c r="Y34" s="492" t="e">
        <f>$X$32 + IF($B$2="mil",1,0.0254)*DDR2Specs!$F$9</f>
        <v>#REF!</v>
      </c>
      <c r="Z34" s="491" t="e">
        <f t="shared" ref="Z34:Z47" si="13">IF($W34&lt;$X34,$X34-$W34,"Pass")</f>
        <v>#REF!</v>
      </c>
      <c r="AA34" s="492" t="e">
        <f t="shared" ref="AA34:AA47" si="14">IF($W34&gt;$Y34,$W34-$Y34,"Pass")</f>
        <v>#REF!</v>
      </c>
      <c r="AB34" s="490">
        <f>SUM($E34:$G34,$M34,$Q34,$N34,$S34,U34)</f>
        <v>4109.76</v>
      </c>
      <c r="AC34" s="469" t="e">
        <f>$AB34+IF($B$2="mil",1,0.0254)*$C34</f>
        <v>#REF!</v>
      </c>
      <c r="AD34" s="469" t="e">
        <f>$AE$32 + IF($B$2="mil",1,0.0254)*DDR2Specs!$E$9</f>
        <v>#REF!</v>
      </c>
      <c r="AE34" s="469" t="e">
        <f>$AD$32 + IF($B$2="mil",1,0.0254)*DDR2Specs!$F$9</f>
        <v>#REF!</v>
      </c>
      <c r="AF34" s="491" t="e">
        <f t="shared" ref="AF34:AF47" si="15">IF($AC34&lt;$AD34,$AD34-$AC34,"Pass")</f>
        <v>#REF!</v>
      </c>
      <c r="AG34" s="492" t="e">
        <f t="shared" ref="AG34:AG47" si="16">IF($AC34&gt;$AE34,$AC34-$AE34,"Pass")</f>
        <v>#REF!</v>
      </c>
      <c r="AH34" s="472" t="e">
        <f>IF($E34&lt;=IF($B$2="mil",1,0.0254)*50,"Pass",IF($B$2="mil",1,0.0254)*50-$E34)</f>
        <v>#REF!</v>
      </c>
      <c r="AI34" s="473" t="e">
        <f t="shared" ref="AI34:AI47" si="17">IF($F34&lt;=IF($B$2="mil",1,0.0254)*500,"Pass",IF($B$2="mil",1,0.0254)*500-$F34)</f>
        <v>#REF!</v>
      </c>
      <c r="AJ34" s="473" t="e">
        <f t="shared" ref="AJ34:AJ47" si="18">IF($J34&lt;=IF($B$2="mil",1,0.0254)*1000,"Pass",IF($B$2="mil",1,0.0254)*1000-$J34)</f>
        <v>#REF!</v>
      </c>
      <c r="AK34" s="473" t="e">
        <f ca="1">CheckLength2(1200,J34,K34,0)</f>
        <v>#NAME?</v>
      </c>
      <c r="AL34" s="473" t="e">
        <f>IF(M34&lt;=IF($B$2="mil",1,0.0254)*2000,"Pass",IF($B$2="mil",1,0.0254)*2000-M34)</f>
        <v>#REF!</v>
      </c>
      <c r="AM34" s="473" t="e">
        <f>IF(N34&lt;=IF($B$2="mil",1,0.0254)*1000,"Pass",IF($B$2="mil",1,0.0254)*1000-N34)</f>
        <v>#REF!</v>
      </c>
      <c r="AN34" s="473" t="e">
        <f t="shared" ref="AN34:AN47" si="19">IF(MAX(N34,P34)-MIN(N34,P34)&lt;=IF($B$2="mil",1,0.0254)*50,"Pass",MAX(N34,P34)-MIN(N34,P34)-IF($B$2="mil",1,0.0254)*50)</f>
        <v>#REF!</v>
      </c>
      <c r="AO34" s="473" t="e">
        <f>IF($Q34&lt;=IF($B$2="mil",1,0.0254)*1000,"Pass",IF($B$2="mil",1,0.0254)*1000-$Q34)</f>
        <v>#REF!</v>
      </c>
      <c r="AP34" s="473" t="e">
        <f>IF(MAX(Q34,Q60,Q86,Q112)-MIN(Q34,Q60,Q86,Q112)&lt;=IF($B$2="mil",1,0.0254)*50,"Pass",MAX(Q34,Q60,Q86,Q112)-MIN(Q34,Q60,Q86,Q112)-IF($B$2="mil",1,0.0254)*50)</f>
        <v>#REF!</v>
      </c>
      <c r="AQ34" s="473" t="e">
        <f t="shared" ref="AQ34:AQ47" si="20">IF($R34&lt;=IF($B$2="mil",1,0.0254)*750,"Pass",IF($B$2="mil",1,0.0254)*750-$R34)</f>
        <v>#REF!</v>
      </c>
      <c r="AR34" s="473" t="e">
        <f t="shared" ref="AR34:AR47" si="21">IF($S34&lt;=IF($B$2="mil",1,0.0254)*750,"Pass",IF($B$2="mil",1,0.0254)*750-$S34)</f>
        <v>#REF!</v>
      </c>
      <c r="AS34" s="473" t="e">
        <f ca="1">CheckLength2(IF($B$2="mil",1,0.0254)*950,R34,T34,0)</f>
        <v>#NAME?</v>
      </c>
      <c r="AT34" s="473" t="e">
        <f ca="1">CheckLength2(IF($B$2="mil",1,0.0254)*950,S34,U34,0)</f>
        <v>#NAME?</v>
      </c>
      <c r="AU34" s="473" t="e">
        <f>IF(AND($V34&gt;=IF($B$2="mil",1,0.0254)*500, $V34&lt;=IF($B$2="mil",1,0.0254)*6500),"Pass",IF($B$2="mil",1,0.0254)*6500-$V34)</f>
        <v>#REF!</v>
      </c>
      <c r="AV34" s="473" t="e">
        <f>IF(AND($W34&gt;=IF($B$2="mil",1,0.0254)*500, $W34&lt;=IF($B$2="mil",1,0.0254)*7000),"Pass",IF($B$2="mil",1,0.0254)*7000-$W34)</f>
        <v>#REF!</v>
      </c>
      <c r="AW34" s="473" t="e">
        <f>IF(AND($AB34&gt;=IF($B$2="mil",1,0.0254)*500, $AB34&lt;=IF($B$2="mil",1,0.0254)*6500),"Pass",IF($B$2="mil",1,0.0254)*6500-$AB34)</f>
        <v>#REF!</v>
      </c>
      <c r="AX34" s="474" t="e">
        <f>IF(AND($AC34&gt;=IF($B$2="mil",1,0.0254)*500, $AC34&lt;=IF($B$2="mil",1,0.0254)*7000),"Pass",IF($B$2="mil",1,0.0254)*7000-$AC34)</f>
        <v>#REF!</v>
      </c>
      <c r="AY34" s="4" t="e">
        <f ca="1">IF(AND(Z34="Pass",AA34="Pass",AF34="Pass",AG34="Pass",AH34="Pass",AI34="Pass",AJ34="Pass",AK34="Pass",AL34="Pass",AM34="Pass",AN34="Pass",AO34="Pass",AP34="Pass",AQ34="Pass",AO34="Pass",AR34="Pass",AS34="Pass",AT34="Pass",AU34="Pass",AV34="Pass",AW34="Pass",AX34="Pass"),"Pass","Fail")</f>
        <v>#REF!</v>
      </c>
      <c r="AZ34" s="4" t="e">
        <f ca="1">IF(AND(AY35="Pass",AY36="Pass",AY37="Pass",AY38="Pass",AY39="Pass",AY40="Pass",AY41="Pass",AY42="Pass",AY43="Pass",AY44="Pass",AY45="Pass",AY34="Pass"),"Pass","Fail")</f>
        <v>#REF!</v>
      </c>
    </row>
    <row r="35" spans="1:52" s="4" customFormat="1" x14ac:dyDescent="0.2">
      <c r="A35" s="214" t="s">
        <v>87</v>
      </c>
      <c r="B35" s="433" t="s">
        <v>478</v>
      </c>
      <c r="C35" s="562">
        <v>526.1811023622048</v>
      </c>
      <c r="D35" s="164"/>
      <c r="E35" s="199">
        <v>29.7</v>
      </c>
      <c r="F35" s="276">
        <v>0</v>
      </c>
      <c r="G35" s="270">
        <v>2001.91</v>
      </c>
      <c r="H35" s="295"/>
      <c r="I35" s="295"/>
      <c r="J35" s="294">
        <v>0</v>
      </c>
      <c r="K35" s="270">
        <v>32.5</v>
      </c>
      <c r="L35" s="296"/>
      <c r="M35" s="297">
        <v>700</v>
      </c>
      <c r="N35" s="363">
        <v>500</v>
      </c>
      <c r="O35" s="167"/>
      <c r="P35" s="270">
        <v>500</v>
      </c>
      <c r="Q35" s="270">
        <v>587.88</v>
      </c>
      <c r="R35" s="270">
        <v>85.04</v>
      </c>
      <c r="S35" s="270">
        <v>85.04</v>
      </c>
      <c r="T35" s="364">
        <v>50</v>
      </c>
      <c r="U35" s="364">
        <v>50</v>
      </c>
      <c r="V35" s="490">
        <f t="shared" si="12"/>
        <v>3954.53</v>
      </c>
      <c r="W35" s="469" t="e">
        <f t="shared" ref="W35:W55" si="22">$V35+IF($B$2="mil",1,0.0254)*$C35</f>
        <v>#REF!</v>
      </c>
      <c r="X35" s="469" t="e">
        <f>$Y$32 + IF($B$2="mil",1,0.0254)*DDR2Specs!$E$9</f>
        <v>#REF!</v>
      </c>
      <c r="Y35" s="492" t="e">
        <f>$X$32 + IF($B$2="mil",1,0.0254)*DDR2Specs!$F$9</f>
        <v>#REF!</v>
      </c>
      <c r="Z35" s="491" t="e">
        <f t="shared" si="13"/>
        <v>#REF!</v>
      </c>
      <c r="AA35" s="492" t="e">
        <f t="shared" si="14"/>
        <v>#REF!</v>
      </c>
      <c r="AB35" s="490">
        <f t="shared" ref="AB35:AB55" si="23">SUM($E35:$G35,$M35,$Q35,$N35,$S35,U35)</f>
        <v>3954.53</v>
      </c>
      <c r="AC35" s="469" t="e">
        <f t="shared" ref="AC35:AC46" si="24">$AB35+IF($B$2="mil",1,0.0254)*$C35</f>
        <v>#REF!</v>
      </c>
      <c r="AD35" s="469" t="e">
        <f>$AE$32 + IF($B$2="mil",1,0.0254)*DDR2Specs!$E$9</f>
        <v>#REF!</v>
      </c>
      <c r="AE35" s="469" t="e">
        <f>$AD$32 + IF($B$2="mil",1,0.0254)*DDR2Specs!$F$9</f>
        <v>#REF!</v>
      </c>
      <c r="AF35" s="491" t="e">
        <f t="shared" si="15"/>
        <v>#REF!</v>
      </c>
      <c r="AG35" s="492" t="e">
        <f t="shared" si="16"/>
        <v>#REF!</v>
      </c>
      <c r="AH35" s="472" t="e">
        <f t="shared" ref="AH35:AH47" si="25">IF($E35&lt;=IF($B$2="mil",1,0.0254)*50,"Pass",IF($B$2="mil",1,0.0254)*50-$E35)</f>
        <v>#REF!</v>
      </c>
      <c r="AI35" s="473" t="e">
        <f t="shared" si="17"/>
        <v>#REF!</v>
      </c>
      <c r="AJ35" s="473" t="e">
        <f t="shared" si="18"/>
        <v>#REF!</v>
      </c>
      <c r="AK35" s="473" t="e">
        <f t="shared" ref="AK35:AK47" ca="1" si="26">CheckLength2(1200,J35,K35,0)</f>
        <v>#NAME?</v>
      </c>
      <c r="AL35" s="473" t="e">
        <f t="shared" ref="AL35:AL47" si="27">IF(M35&lt;=IF($B$2="mil",1,0.0254)*2000,"Pass",IF($B$2="mil",1,0.0254)*2000-M35)</f>
        <v>#REF!</v>
      </c>
      <c r="AM35" s="473" t="e">
        <f t="shared" ref="AM35:AM47" si="28">IF(N35&lt;=IF($B$2="mil",1,0.0254)*1000,"Pass",IF($B$2="mil",1,0.0254)*1000-N35)</f>
        <v>#REF!</v>
      </c>
      <c r="AN35" s="473" t="e">
        <f t="shared" si="19"/>
        <v>#REF!</v>
      </c>
      <c r="AO35" s="473" t="e">
        <f t="shared" ref="AO35:AO47" si="29">IF($Q35&lt;=IF($B$2="mil",1,0.0254)*1000,"Pass",IF($B$2="mil",1,0.0254)*1000-$Q35)</f>
        <v>#REF!</v>
      </c>
      <c r="AP35" s="473" t="e">
        <f t="shared" ref="AP35:AP55" si="30">IF(MAX(Q35,Q61,Q87,Q113)-MIN(Q35,Q61,Q87,Q113)&lt;=IF($B$2="mil",1,0.0254)*50,"Pass",MAX(Q35,Q61,Q87,Q113)-MIN(Q35,Q61,Q87,Q113)-IF($B$2="mil",1,0.0254)*50)</f>
        <v>#REF!</v>
      </c>
      <c r="AQ35" s="473" t="e">
        <f t="shared" si="20"/>
        <v>#REF!</v>
      </c>
      <c r="AR35" s="473" t="e">
        <f t="shared" si="21"/>
        <v>#REF!</v>
      </c>
      <c r="AS35" s="473" t="e">
        <f t="shared" ref="AS35:AS47" ca="1" si="31">CheckLength2(IF($B$2="mil",1,0.0254)*950,R35,T35,0)</f>
        <v>#NAME?</v>
      </c>
      <c r="AT35" s="473" t="e">
        <f t="shared" ref="AT35:AT47" ca="1" si="32">CheckLength2(IF($B$2="mil",1,0.0254)*950,S35,U35,0)</f>
        <v>#NAME?</v>
      </c>
      <c r="AU35" s="473" t="e">
        <f t="shared" ref="AU35:AU47" si="33">IF(AND($V35&gt;=IF($B$2="mil",1,0.0254)*500, $V35&lt;=IF($B$2="mil",1,0.0254)*6500),"Pass",IF($B$2="mil",1,0.0254)*6500-$V35)</f>
        <v>#REF!</v>
      </c>
      <c r="AV35" s="473" t="e">
        <f t="shared" ref="AV35:AV47" si="34">IF(AND($W35&gt;=IF($B$2="mil",1,0.0254)*500, $W35&lt;=IF($B$2="mil",1,0.0254)*7000),"Pass",IF($B$2="mil",1,0.0254)*7000-$W35)</f>
        <v>#REF!</v>
      </c>
      <c r="AW35" s="473" t="e">
        <f t="shared" ref="AW35:AW47" si="35">IF(AND($AB35&gt;=IF($B$2="mil",1,0.0254)*500, $AB35&lt;=IF($B$2="mil",1,0.0254)*6500),"Pass",IF($B$2="mil",1,0.0254)*6500-$AB35)</f>
        <v>#REF!</v>
      </c>
      <c r="AX35" s="474" t="e">
        <f t="shared" ref="AX35:AX47" si="36">IF(AND($AC35&gt;=IF($B$2="mil",1,0.0254)*500, $AC35&lt;=IF($B$2="mil",1,0.0254)*7000),"Pass",IF($B$2="mil",1,0.0254)*7000-$AC35)</f>
        <v>#REF!</v>
      </c>
      <c r="AY35" s="4" t="e">
        <f t="shared" ref="AY35:AY55" ca="1" si="37">IF(AND(Z35="Pass",AA35="Pass",AF35="Pass",AG35="Pass",AH35="Pass",AI35="Pass",AJ35="Pass",AK35="Pass",AL35="Pass",AM35="Pass",AN35="Pass",AO35="Pass",AP35="Pass",AQ35="Pass",AO35="Pass",AR35="Pass",AS35="Pass",AT35="Pass",AU35="Pass",AV35="Pass",AW35="Pass",AX35="Pass"),"Pass","Fail")</f>
        <v>#REF!</v>
      </c>
      <c r="AZ35" s="4" t="e">
        <f ca="1">IF(AND(AY46="Pass",AY47="Pass",AY49="Pass",AY50="Pass",AY51="Pass",AY53="Pass",AY54="Pass",AY55="Pass"),"Pass","Fail")</f>
        <v>#REF!</v>
      </c>
    </row>
    <row r="36" spans="1:52" s="4" customFormat="1" x14ac:dyDescent="0.2">
      <c r="A36" s="214" t="s">
        <v>88</v>
      </c>
      <c r="B36" s="433" t="s">
        <v>479</v>
      </c>
      <c r="C36" s="562">
        <v>448.14960629921256</v>
      </c>
      <c r="D36" s="164"/>
      <c r="E36" s="199">
        <v>29.7</v>
      </c>
      <c r="F36" s="276">
        <v>0</v>
      </c>
      <c r="G36" s="270">
        <v>2700</v>
      </c>
      <c r="H36" s="295"/>
      <c r="I36" s="295"/>
      <c r="J36" s="294">
        <v>0</v>
      </c>
      <c r="K36" s="270">
        <v>41.64</v>
      </c>
      <c r="L36" s="296"/>
      <c r="M36" s="297">
        <v>700</v>
      </c>
      <c r="N36" s="363">
        <v>500</v>
      </c>
      <c r="O36" s="167"/>
      <c r="P36" s="270">
        <v>500</v>
      </c>
      <c r="Q36" s="270">
        <v>565.69000000000005</v>
      </c>
      <c r="R36" s="270">
        <v>99.56</v>
      </c>
      <c r="S36" s="270">
        <v>99.56</v>
      </c>
      <c r="T36" s="364">
        <v>50</v>
      </c>
      <c r="U36" s="364">
        <v>50</v>
      </c>
      <c r="V36" s="490">
        <f t="shared" si="12"/>
        <v>4644.95</v>
      </c>
      <c r="W36" s="469" t="e">
        <f t="shared" si="22"/>
        <v>#REF!</v>
      </c>
      <c r="X36" s="469" t="e">
        <f>$Y$32 + IF($B$2="mil",1,0.0254)*DDR2Specs!$E$9</f>
        <v>#REF!</v>
      </c>
      <c r="Y36" s="492" t="e">
        <f>$X$32 + IF($B$2="mil",1,0.0254)*DDR2Specs!$F$9</f>
        <v>#REF!</v>
      </c>
      <c r="Z36" s="491" t="e">
        <f t="shared" si="13"/>
        <v>#REF!</v>
      </c>
      <c r="AA36" s="492" t="e">
        <f t="shared" si="14"/>
        <v>#REF!</v>
      </c>
      <c r="AB36" s="490">
        <f t="shared" si="23"/>
        <v>4644.95</v>
      </c>
      <c r="AC36" s="469" t="e">
        <f t="shared" si="24"/>
        <v>#REF!</v>
      </c>
      <c r="AD36" s="469" t="e">
        <f>$AE$32 + IF($B$2="mil",1,0.0254)*DDR2Specs!$E$9</f>
        <v>#REF!</v>
      </c>
      <c r="AE36" s="469" t="e">
        <f>$AD$32 + IF($B$2="mil",1,0.0254)*DDR2Specs!$F$9</f>
        <v>#REF!</v>
      </c>
      <c r="AF36" s="491" t="e">
        <f t="shared" si="15"/>
        <v>#REF!</v>
      </c>
      <c r="AG36" s="492" t="e">
        <f t="shared" si="16"/>
        <v>#REF!</v>
      </c>
      <c r="AH36" s="472" t="e">
        <f t="shared" si="25"/>
        <v>#REF!</v>
      </c>
      <c r="AI36" s="473" t="e">
        <f t="shared" si="17"/>
        <v>#REF!</v>
      </c>
      <c r="AJ36" s="473" t="e">
        <f t="shared" si="18"/>
        <v>#REF!</v>
      </c>
      <c r="AK36" s="473" t="e">
        <f t="shared" ca="1" si="26"/>
        <v>#NAME?</v>
      </c>
      <c r="AL36" s="473" t="e">
        <f t="shared" si="27"/>
        <v>#REF!</v>
      </c>
      <c r="AM36" s="473" t="e">
        <f t="shared" si="28"/>
        <v>#REF!</v>
      </c>
      <c r="AN36" s="473" t="e">
        <f t="shared" si="19"/>
        <v>#REF!</v>
      </c>
      <c r="AO36" s="473" t="e">
        <f t="shared" si="29"/>
        <v>#REF!</v>
      </c>
      <c r="AP36" s="473" t="e">
        <f t="shared" si="30"/>
        <v>#REF!</v>
      </c>
      <c r="AQ36" s="473" t="e">
        <f t="shared" si="20"/>
        <v>#REF!</v>
      </c>
      <c r="AR36" s="473" t="e">
        <f t="shared" si="21"/>
        <v>#REF!</v>
      </c>
      <c r="AS36" s="473" t="e">
        <f t="shared" ca="1" si="31"/>
        <v>#NAME?</v>
      </c>
      <c r="AT36" s="473" t="e">
        <f t="shared" ca="1" si="32"/>
        <v>#NAME?</v>
      </c>
      <c r="AU36" s="473" t="e">
        <f t="shared" si="33"/>
        <v>#REF!</v>
      </c>
      <c r="AV36" s="473" t="e">
        <f t="shared" si="34"/>
        <v>#REF!</v>
      </c>
      <c r="AW36" s="473" t="e">
        <f t="shared" si="35"/>
        <v>#REF!</v>
      </c>
      <c r="AX36" s="474" t="e">
        <f t="shared" si="36"/>
        <v>#REF!</v>
      </c>
      <c r="AY36" s="4" t="e">
        <f t="shared" ca="1" si="37"/>
        <v>#REF!</v>
      </c>
    </row>
    <row r="37" spans="1:52" s="4" customFormat="1" x14ac:dyDescent="0.2">
      <c r="A37" s="214" t="s">
        <v>89</v>
      </c>
      <c r="B37" s="433" t="s">
        <v>480</v>
      </c>
      <c r="C37" s="562">
        <v>435.90551181102359</v>
      </c>
      <c r="D37" s="164"/>
      <c r="E37" s="199">
        <v>29.7</v>
      </c>
      <c r="F37" s="276">
        <v>0</v>
      </c>
      <c r="G37" s="270">
        <v>2159.11</v>
      </c>
      <c r="H37" s="295"/>
      <c r="I37" s="295"/>
      <c r="J37" s="294">
        <v>0</v>
      </c>
      <c r="K37" s="270">
        <v>41.03</v>
      </c>
      <c r="L37" s="296"/>
      <c r="M37" s="297">
        <v>700</v>
      </c>
      <c r="N37" s="363">
        <v>300</v>
      </c>
      <c r="O37" s="167"/>
      <c r="P37" s="270">
        <v>300</v>
      </c>
      <c r="Q37" s="270">
        <v>579.26</v>
      </c>
      <c r="R37" s="270">
        <v>145.9</v>
      </c>
      <c r="S37" s="270">
        <v>145.9</v>
      </c>
      <c r="T37" s="364">
        <v>50</v>
      </c>
      <c r="U37" s="364">
        <v>50</v>
      </c>
      <c r="V37" s="490">
        <f t="shared" si="12"/>
        <v>3963.97</v>
      </c>
      <c r="W37" s="469" t="e">
        <f t="shared" si="22"/>
        <v>#REF!</v>
      </c>
      <c r="X37" s="469" t="e">
        <f>$Y$32 + IF($B$2="mil",1,0.0254)*DDR2Specs!$E$9</f>
        <v>#REF!</v>
      </c>
      <c r="Y37" s="492" t="e">
        <f>$X$32 + IF($B$2="mil",1,0.0254)*DDR2Specs!$F$9</f>
        <v>#REF!</v>
      </c>
      <c r="Z37" s="491" t="e">
        <f t="shared" si="13"/>
        <v>#REF!</v>
      </c>
      <c r="AA37" s="492" t="e">
        <f t="shared" si="14"/>
        <v>#REF!</v>
      </c>
      <c r="AB37" s="490">
        <f t="shared" si="23"/>
        <v>3963.97</v>
      </c>
      <c r="AC37" s="469" t="e">
        <f t="shared" si="24"/>
        <v>#REF!</v>
      </c>
      <c r="AD37" s="469" t="e">
        <f>$AE$32 + IF($B$2="mil",1,0.0254)*DDR2Specs!$E$9</f>
        <v>#REF!</v>
      </c>
      <c r="AE37" s="469" t="e">
        <f>$AD$32 + IF($B$2="mil",1,0.0254)*DDR2Specs!$F$9</f>
        <v>#REF!</v>
      </c>
      <c r="AF37" s="491" t="e">
        <f t="shared" si="15"/>
        <v>#REF!</v>
      </c>
      <c r="AG37" s="492" t="e">
        <f t="shared" si="16"/>
        <v>#REF!</v>
      </c>
      <c r="AH37" s="472" t="e">
        <f t="shared" si="25"/>
        <v>#REF!</v>
      </c>
      <c r="AI37" s="473" t="e">
        <f t="shared" si="17"/>
        <v>#REF!</v>
      </c>
      <c r="AJ37" s="473" t="e">
        <f t="shared" si="18"/>
        <v>#REF!</v>
      </c>
      <c r="AK37" s="473" t="e">
        <f t="shared" ca="1" si="26"/>
        <v>#NAME?</v>
      </c>
      <c r="AL37" s="473" t="e">
        <f t="shared" si="27"/>
        <v>#REF!</v>
      </c>
      <c r="AM37" s="473" t="e">
        <f t="shared" si="28"/>
        <v>#REF!</v>
      </c>
      <c r="AN37" s="473" t="e">
        <f t="shared" si="19"/>
        <v>#REF!</v>
      </c>
      <c r="AO37" s="473" t="e">
        <f t="shared" si="29"/>
        <v>#REF!</v>
      </c>
      <c r="AP37" s="473" t="e">
        <f t="shared" si="30"/>
        <v>#REF!</v>
      </c>
      <c r="AQ37" s="473" t="e">
        <f t="shared" si="20"/>
        <v>#REF!</v>
      </c>
      <c r="AR37" s="473" t="e">
        <f t="shared" si="21"/>
        <v>#REF!</v>
      </c>
      <c r="AS37" s="473" t="e">
        <f t="shared" ca="1" si="31"/>
        <v>#NAME?</v>
      </c>
      <c r="AT37" s="473" t="e">
        <f t="shared" ca="1" si="32"/>
        <v>#NAME?</v>
      </c>
      <c r="AU37" s="473" t="e">
        <f t="shared" si="33"/>
        <v>#REF!</v>
      </c>
      <c r="AV37" s="473" t="e">
        <f t="shared" si="34"/>
        <v>#REF!</v>
      </c>
      <c r="AW37" s="473" t="e">
        <f t="shared" si="35"/>
        <v>#REF!</v>
      </c>
      <c r="AX37" s="474" t="e">
        <f t="shared" si="36"/>
        <v>#REF!</v>
      </c>
      <c r="AY37" s="4" t="e">
        <f t="shared" ca="1" si="37"/>
        <v>#REF!</v>
      </c>
    </row>
    <row r="38" spans="1:52" s="4" customFormat="1" x14ac:dyDescent="0.2">
      <c r="A38" s="214" t="s">
        <v>90</v>
      </c>
      <c r="B38" s="433" t="s">
        <v>481</v>
      </c>
      <c r="C38" s="562">
        <v>381.06299212598429</v>
      </c>
      <c r="D38" s="164"/>
      <c r="E38" s="199">
        <v>29.7</v>
      </c>
      <c r="F38" s="276">
        <v>0</v>
      </c>
      <c r="G38" s="270">
        <v>2900</v>
      </c>
      <c r="H38" s="295"/>
      <c r="I38" s="295"/>
      <c r="J38" s="294">
        <v>0</v>
      </c>
      <c r="K38" s="270">
        <v>36.74</v>
      </c>
      <c r="L38" s="296"/>
      <c r="M38" s="297">
        <v>700</v>
      </c>
      <c r="N38" s="363">
        <v>600</v>
      </c>
      <c r="O38" s="167"/>
      <c r="P38" s="270">
        <v>600</v>
      </c>
      <c r="Q38" s="270">
        <v>624.74</v>
      </c>
      <c r="R38" s="270">
        <v>103.51</v>
      </c>
      <c r="S38" s="270">
        <v>103.51</v>
      </c>
      <c r="T38" s="364">
        <v>50</v>
      </c>
      <c r="U38" s="364">
        <v>50</v>
      </c>
      <c r="V38" s="490">
        <f t="shared" si="12"/>
        <v>5007.95</v>
      </c>
      <c r="W38" s="469" t="e">
        <f t="shared" si="22"/>
        <v>#REF!</v>
      </c>
      <c r="X38" s="469" t="e">
        <f>$Y$32 + IF($B$2="mil",1,0.0254)*DDR2Specs!$E$9</f>
        <v>#REF!</v>
      </c>
      <c r="Y38" s="492" t="e">
        <f>$X$32 + IF($B$2="mil",1,0.0254)*DDR2Specs!$F$9</f>
        <v>#REF!</v>
      </c>
      <c r="Z38" s="491" t="e">
        <f t="shared" si="13"/>
        <v>#REF!</v>
      </c>
      <c r="AA38" s="492" t="e">
        <f t="shared" si="14"/>
        <v>#REF!</v>
      </c>
      <c r="AB38" s="490">
        <f t="shared" si="23"/>
        <v>5007.95</v>
      </c>
      <c r="AC38" s="469" t="e">
        <f t="shared" si="24"/>
        <v>#REF!</v>
      </c>
      <c r="AD38" s="469" t="e">
        <f>$AE$32 + IF($B$2="mil",1,0.0254)*DDR2Specs!$E$9</f>
        <v>#REF!</v>
      </c>
      <c r="AE38" s="469" t="e">
        <f>$AD$32 + IF($B$2="mil",1,0.0254)*DDR2Specs!$F$9</f>
        <v>#REF!</v>
      </c>
      <c r="AF38" s="491" t="e">
        <f t="shared" si="15"/>
        <v>#REF!</v>
      </c>
      <c r="AG38" s="492" t="e">
        <f t="shared" si="16"/>
        <v>#REF!</v>
      </c>
      <c r="AH38" s="472" t="e">
        <f t="shared" si="25"/>
        <v>#REF!</v>
      </c>
      <c r="AI38" s="473" t="e">
        <f t="shared" si="17"/>
        <v>#REF!</v>
      </c>
      <c r="AJ38" s="473" t="e">
        <f t="shared" si="18"/>
        <v>#REF!</v>
      </c>
      <c r="AK38" s="473" t="e">
        <f t="shared" ca="1" si="26"/>
        <v>#NAME?</v>
      </c>
      <c r="AL38" s="473" t="e">
        <f t="shared" si="27"/>
        <v>#REF!</v>
      </c>
      <c r="AM38" s="473" t="e">
        <f t="shared" si="28"/>
        <v>#REF!</v>
      </c>
      <c r="AN38" s="473" t="e">
        <f t="shared" si="19"/>
        <v>#REF!</v>
      </c>
      <c r="AO38" s="473" t="e">
        <f t="shared" si="29"/>
        <v>#REF!</v>
      </c>
      <c r="AP38" s="473" t="e">
        <f t="shared" si="30"/>
        <v>#REF!</v>
      </c>
      <c r="AQ38" s="473" t="e">
        <f t="shared" si="20"/>
        <v>#REF!</v>
      </c>
      <c r="AR38" s="473" t="e">
        <f t="shared" si="21"/>
        <v>#REF!</v>
      </c>
      <c r="AS38" s="473" t="e">
        <f t="shared" ca="1" si="31"/>
        <v>#NAME?</v>
      </c>
      <c r="AT38" s="473" t="e">
        <f t="shared" ca="1" si="32"/>
        <v>#NAME?</v>
      </c>
      <c r="AU38" s="473" t="e">
        <f t="shared" si="33"/>
        <v>#REF!</v>
      </c>
      <c r="AV38" s="473" t="e">
        <f t="shared" si="34"/>
        <v>#REF!</v>
      </c>
      <c r="AW38" s="473" t="e">
        <f t="shared" si="35"/>
        <v>#REF!</v>
      </c>
      <c r="AX38" s="474" t="e">
        <f t="shared" si="36"/>
        <v>#REF!</v>
      </c>
      <c r="AY38" s="4" t="e">
        <f t="shared" ca="1" si="37"/>
        <v>#REF!</v>
      </c>
    </row>
    <row r="39" spans="1:52" s="4" customFormat="1" x14ac:dyDescent="0.2">
      <c r="A39" s="214" t="s">
        <v>91</v>
      </c>
      <c r="B39" s="434" t="s">
        <v>482</v>
      </c>
      <c r="C39" s="562">
        <v>420.03937007874021</v>
      </c>
      <c r="D39" s="164"/>
      <c r="E39" s="199">
        <v>29.7</v>
      </c>
      <c r="F39" s="276">
        <v>0</v>
      </c>
      <c r="G39" s="270">
        <v>2311.37</v>
      </c>
      <c r="H39" s="295"/>
      <c r="I39" s="295"/>
      <c r="J39" s="294">
        <v>0</v>
      </c>
      <c r="K39" s="270">
        <v>38.71</v>
      </c>
      <c r="L39" s="296"/>
      <c r="M39" s="297">
        <v>700</v>
      </c>
      <c r="N39" s="363">
        <v>200</v>
      </c>
      <c r="O39" s="167"/>
      <c r="P39" s="270">
        <v>200</v>
      </c>
      <c r="Q39" s="270">
        <v>610.85</v>
      </c>
      <c r="R39" s="270">
        <v>75.709999999999994</v>
      </c>
      <c r="S39" s="270">
        <v>75.709999999999994</v>
      </c>
      <c r="T39" s="364">
        <v>50</v>
      </c>
      <c r="U39" s="364">
        <v>50</v>
      </c>
      <c r="V39" s="490">
        <f t="shared" si="12"/>
        <v>3977.6299999999997</v>
      </c>
      <c r="W39" s="469" t="e">
        <f t="shared" si="22"/>
        <v>#REF!</v>
      </c>
      <c r="X39" s="469" t="e">
        <f>$Y$32 + IF($B$2="mil",1,0.0254)*DDR2Specs!$E$9</f>
        <v>#REF!</v>
      </c>
      <c r="Y39" s="492" t="e">
        <f>$X$32 + IF($B$2="mil",1,0.0254)*DDR2Specs!$F$9</f>
        <v>#REF!</v>
      </c>
      <c r="Z39" s="491" t="e">
        <f t="shared" si="13"/>
        <v>#REF!</v>
      </c>
      <c r="AA39" s="492" t="e">
        <f t="shared" si="14"/>
        <v>#REF!</v>
      </c>
      <c r="AB39" s="490">
        <f t="shared" si="23"/>
        <v>3977.6299999999997</v>
      </c>
      <c r="AC39" s="469" t="e">
        <f t="shared" si="24"/>
        <v>#REF!</v>
      </c>
      <c r="AD39" s="469" t="e">
        <f>$AE$32 + IF($B$2="mil",1,0.0254)*DDR2Specs!$E$9</f>
        <v>#REF!</v>
      </c>
      <c r="AE39" s="469" t="e">
        <f>$AD$32 + IF($B$2="mil",1,0.0254)*DDR2Specs!$F$9</f>
        <v>#REF!</v>
      </c>
      <c r="AF39" s="491" t="e">
        <f t="shared" si="15"/>
        <v>#REF!</v>
      </c>
      <c r="AG39" s="492" t="e">
        <f t="shared" si="16"/>
        <v>#REF!</v>
      </c>
      <c r="AH39" s="472" t="e">
        <f t="shared" si="25"/>
        <v>#REF!</v>
      </c>
      <c r="AI39" s="473" t="e">
        <f t="shared" si="17"/>
        <v>#REF!</v>
      </c>
      <c r="AJ39" s="473" t="e">
        <f t="shared" si="18"/>
        <v>#REF!</v>
      </c>
      <c r="AK39" s="473" t="e">
        <f t="shared" ca="1" si="26"/>
        <v>#NAME?</v>
      </c>
      <c r="AL39" s="473" t="e">
        <f t="shared" si="27"/>
        <v>#REF!</v>
      </c>
      <c r="AM39" s="473" t="e">
        <f t="shared" si="28"/>
        <v>#REF!</v>
      </c>
      <c r="AN39" s="473" t="e">
        <f t="shared" si="19"/>
        <v>#REF!</v>
      </c>
      <c r="AO39" s="473" t="e">
        <f t="shared" si="29"/>
        <v>#REF!</v>
      </c>
      <c r="AP39" s="473" t="e">
        <f t="shared" si="30"/>
        <v>#REF!</v>
      </c>
      <c r="AQ39" s="473" t="e">
        <f t="shared" si="20"/>
        <v>#REF!</v>
      </c>
      <c r="AR39" s="473" t="e">
        <f t="shared" si="21"/>
        <v>#REF!</v>
      </c>
      <c r="AS39" s="473" t="e">
        <f t="shared" ca="1" si="31"/>
        <v>#NAME?</v>
      </c>
      <c r="AT39" s="473" t="e">
        <f t="shared" ca="1" si="32"/>
        <v>#NAME?</v>
      </c>
      <c r="AU39" s="473" t="e">
        <f t="shared" si="33"/>
        <v>#REF!</v>
      </c>
      <c r="AV39" s="473" t="e">
        <f t="shared" si="34"/>
        <v>#REF!</v>
      </c>
      <c r="AW39" s="473" t="e">
        <f t="shared" si="35"/>
        <v>#REF!</v>
      </c>
      <c r="AX39" s="474" t="e">
        <f t="shared" si="36"/>
        <v>#REF!</v>
      </c>
      <c r="AY39" s="4" t="e">
        <f t="shared" ca="1" si="37"/>
        <v>#REF!</v>
      </c>
    </row>
    <row r="40" spans="1:52" s="4" customFormat="1" x14ac:dyDescent="0.2">
      <c r="A40" s="214" t="s">
        <v>92</v>
      </c>
      <c r="B40" s="433" t="s">
        <v>483</v>
      </c>
      <c r="C40" s="562">
        <v>468.89763779527561</v>
      </c>
      <c r="D40" s="164"/>
      <c r="E40" s="199">
        <v>29.7</v>
      </c>
      <c r="F40" s="276">
        <v>0</v>
      </c>
      <c r="G40" s="270">
        <v>2336.23</v>
      </c>
      <c r="H40" s="295"/>
      <c r="I40" s="295"/>
      <c r="J40" s="294">
        <v>0</v>
      </c>
      <c r="K40" s="270">
        <v>37.5</v>
      </c>
      <c r="L40" s="296"/>
      <c r="M40" s="297">
        <v>700</v>
      </c>
      <c r="N40" s="363">
        <v>200</v>
      </c>
      <c r="O40" s="167"/>
      <c r="P40" s="270">
        <v>200</v>
      </c>
      <c r="Q40" s="270">
        <v>604.02</v>
      </c>
      <c r="R40" s="270">
        <v>101.05</v>
      </c>
      <c r="S40" s="270">
        <v>101.05</v>
      </c>
      <c r="T40" s="364">
        <v>50</v>
      </c>
      <c r="U40" s="364">
        <v>50</v>
      </c>
      <c r="V40" s="490">
        <f t="shared" si="12"/>
        <v>4021</v>
      </c>
      <c r="W40" s="469" t="e">
        <f t="shared" si="22"/>
        <v>#REF!</v>
      </c>
      <c r="X40" s="469" t="e">
        <f>$Y$32 + IF($B$2="mil",1,0.0254)*DDR2Specs!$E$9</f>
        <v>#REF!</v>
      </c>
      <c r="Y40" s="492" t="e">
        <f>$X$32 + IF($B$2="mil",1,0.0254)*DDR2Specs!$F$9</f>
        <v>#REF!</v>
      </c>
      <c r="Z40" s="491" t="e">
        <f t="shared" si="13"/>
        <v>#REF!</v>
      </c>
      <c r="AA40" s="492" t="e">
        <f t="shared" si="14"/>
        <v>#REF!</v>
      </c>
      <c r="AB40" s="490">
        <f t="shared" si="23"/>
        <v>4021</v>
      </c>
      <c r="AC40" s="469" t="e">
        <f t="shared" si="24"/>
        <v>#REF!</v>
      </c>
      <c r="AD40" s="469" t="e">
        <f>$AE$32 + IF($B$2="mil",1,0.0254)*DDR2Specs!$E$9</f>
        <v>#REF!</v>
      </c>
      <c r="AE40" s="469" t="e">
        <f>$AD$32 + IF($B$2="mil",1,0.0254)*DDR2Specs!$F$9</f>
        <v>#REF!</v>
      </c>
      <c r="AF40" s="491" t="e">
        <f t="shared" si="15"/>
        <v>#REF!</v>
      </c>
      <c r="AG40" s="492" t="e">
        <f t="shared" si="16"/>
        <v>#REF!</v>
      </c>
      <c r="AH40" s="472" t="e">
        <f t="shared" si="25"/>
        <v>#REF!</v>
      </c>
      <c r="AI40" s="473" t="e">
        <f t="shared" si="17"/>
        <v>#REF!</v>
      </c>
      <c r="AJ40" s="473" t="e">
        <f t="shared" si="18"/>
        <v>#REF!</v>
      </c>
      <c r="AK40" s="473" t="e">
        <f t="shared" ca="1" si="26"/>
        <v>#NAME?</v>
      </c>
      <c r="AL40" s="473" t="e">
        <f t="shared" si="27"/>
        <v>#REF!</v>
      </c>
      <c r="AM40" s="473" t="e">
        <f t="shared" si="28"/>
        <v>#REF!</v>
      </c>
      <c r="AN40" s="473" t="e">
        <f t="shared" si="19"/>
        <v>#REF!</v>
      </c>
      <c r="AO40" s="473" t="e">
        <f t="shared" si="29"/>
        <v>#REF!</v>
      </c>
      <c r="AP40" s="473" t="e">
        <f t="shared" si="30"/>
        <v>#REF!</v>
      </c>
      <c r="AQ40" s="473" t="e">
        <f t="shared" si="20"/>
        <v>#REF!</v>
      </c>
      <c r="AR40" s="473" t="e">
        <f t="shared" si="21"/>
        <v>#REF!</v>
      </c>
      <c r="AS40" s="473" t="e">
        <f t="shared" ca="1" si="31"/>
        <v>#NAME?</v>
      </c>
      <c r="AT40" s="473" t="e">
        <f t="shared" ca="1" si="32"/>
        <v>#NAME?</v>
      </c>
      <c r="AU40" s="473" t="e">
        <f t="shared" si="33"/>
        <v>#REF!</v>
      </c>
      <c r="AV40" s="473" t="e">
        <f t="shared" si="34"/>
        <v>#REF!</v>
      </c>
      <c r="AW40" s="473" t="e">
        <f t="shared" si="35"/>
        <v>#REF!</v>
      </c>
      <c r="AX40" s="474" t="e">
        <f t="shared" si="36"/>
        <v>#REF!</v>
      </c>
      <c r="AY40" s="4" t="e">
        <f t="shared" ca="1" si="37"/>
        <v>#REF!</v>
      </c>
    </row>
    <row r="41" spans="1:52" s="4" customFormat="1" x14ac:dyDescent="0.2">
      <c r="A41" s="214" t="s">
        <v>94</v>
      </c>
      <c r="B41" s="433" t="s">
        <v>484</v>
      </c>
      <c r="C41" s="562">
        <v>508.74015748031502</v>
      </c>
      <c r="D41" s="164"/>
      <c r="E41" s="199">
        <v>29.7</v>
      </c>
      <c r="F41" s="276">
        <v>0</v>
      </c>
      <c r="G41" s="270">
        <v>2228.25</v>
      </c>
      <c r="H41" s="295"/>
      <c r="I41" s="295"/>
      <c r="J41" s="294">
        <v>0</v>
      </c>
      <c r="K41" s="270">
        <v>37.5</v>
      </c>
      <c r="L41" s="296"/>
      <c r="M41" s="297">
        <v>700</v>
      </c>
      <c r="N41" s="363">
        <v>200</v>
      </c>
      <c r="O41" s="167"/>
      <c r="P41" s="270">
        <v>200</v>
      </c>
      <c r="Q41" s="270">
        <v>596.35</v>
      </c>
      <c r="R41" s="270">
        <v>144.30000000000001</v>
      </c>
      <c r="S41" s="270">
        <v>144.30000000000001</v>
      </c>
      <c r="T41" s="364">
        <v>50</v>
      </c>
      <c r="U41" s="364">
        <v>50</v>
      </c>
      <c r="V41" s="490">
        <f t="shared" si="12"/>
        <v>3948.6</v>
      </c>
      <c r="W41" s="469" t="e">
        <f t="shared" si="22"/>
        <v>#REF!</v>
      </c>
      <c r="X41" s="469" t="e">
        <f>$Y$32 + IF($B$2="mil",1,0.0254)*DDR2Specs!$E$9</f>
        <v>#REF!</v>
      </c>
      <c r="Y41" s="492" t="e">
        <f>$X$32 + IF($B$2="mil",1,0.0254)*DDR2Specs!$F$9</f>
        <v>#REF!</v>
      </c>
      <c r="Z41" s="491" t="e">
        <f t="shared" si="13"/>
        <v>#REF!</v>
      </c>
      <c r="AA41" s="492" t="e">
        <f t="shared" si="14"/>
        <v>#REF!</v>
      </c>
      <c r="AB41" s="490">
        <f t="shared" si="23"/>
        <v>3948.6</v>
      </c>
      <c r="AC41" s="469" t="e">
        <f t="shared" si="24"/>
        <v>#REF!</v>
      </c>
      <c r="AD41" s="469" t="e">
        <f>$AE$32 + IF($B$2="mil",1,0.0254)*DDR2Specs!$E$9</f>
        <v>#REF!</v>
      </c>
      <c r="AE41" s="469" t="e">
        <f>$AD$32 + IF($B$2="mil",1,0.0254)*DDR2Specs!$F$9</f>
        <v>#REF!</v>
      </c>
      <c r="AF41" s="491" t="e">
        <f t="shared" si="15"/>
        <v>#REF!</v>
      </c>
      <c r="AG41" s="492" t="e">
        <f t="shared" si="16"/>
        <v>#REF!</v>
      </c>
      <c r="AH41" s="472" t="e">
        <f t="shared" si="25"/>
        <v>#REF!</v>
      </c>
      <c r="AI41" s="473" t="e">
        <f t="shared" si="17"/>
        <v>#REF!</v>
      </c>
      <c r="AJ41" s="473" t="e">
        <f t="shared" si="18"/>
        <v>#REF!</v>
      </c>
      <c r="AK41" s="473" t="e">
        <f t="shared" ca="1" si="26"/>
        <v>#NAME?</v>
      </c>
      <c r="AL41" s="473" t="e">
        <f t="shared" si="27"/>
        <v>#REF!</v>
      </c>
      <c r="AM41" s="473" t="e">
        <f t="shared" si="28"/>
        <v>#REF!</v>
      </c>
      <c r="AN41" s="473" t="e">
        <f t="shared" si="19"/>
        <v>#REF!</v>
      </c>
      <c r="AO41" s="473" t="e">
        <f t="shared" si="29"/>
        <v>#REF!</v>
      </c>
      <c r="AP41" s="473" t="e">
        <f t="shared" si="30"/>
        <v>#REF!</v>
      </c>
      <c r="AQ41" s="473" t="e">
        <f t="shared" si="20"/>
        <v>#REF!</v>
      </c>
      <c r="AR41" s="473" t="e">
        <f t="shared" si="21"/>
        <v>#REF!</v>
      </c>
      <c r="AS41" s="473" t="e">
        <f t="shared" ca="1" si="31"/>
        <v>#NAME?</v>
      </c>
      <c r="AT41" s="473" t="e">
        <f t="shared" ca="1" si="32"/>
        <v>#NAME?</v>
      </c>
      <c r="AU41" s="473" t="e">
        <f t="shared" si="33"/>
        <v>#REF!</v>
      </c>
      <c r="AV41" s="473" t="e">
        <f t="shared" si="34"/>
        <v>#REF!</v>
      </c>
      <c r="AW41" s="473" t="e">
        <f t="shared" si="35"/>
        <v>#REF!</v>
      </c>
      <c r="AX41" s="474" t="e">
        <f t="shared" si="36"/>
        <v>#REF!</v>
      </c>
      <c r="AY41" s="4" t="e">
        <f t="shared" ca="1" si="37"/>
        <v>#REF!</v>
      </c>
    </row>
    <row r="42" spans="1:52" s="4" customFormat="1" x14ac:dyDescent="0.2">
      <c r="A42" s="214" t="s">
        <v>95</v>
      </c>
      <c r="B42" s="434" t="s">
        <v>485</v>
      </c>
      <c r="C42" s="562">
        <v>529.40944881889766</v>
      </c>
      <c r="D42" s="164"/>
      <c r="E42" s="199">
        <v>29.7</v>
      </c>
      <c r="F42" s="276">
        <v>0</v>
      </c>
      <c r="G42" s="270">
        <v>1730.91</v>
      </c>
      <c r="H42" s="295"/>
      <c r="I42" s="295"/>
      <c r="J42" s="294">
        <v>0</v>
      </c>
      <c r="K42" s="270">
        <v>34.909999999999997</v>
      </c>
      <c r="L42" s="296"/>
      <c r="M42" s="297">
        <v>700</v>
      </c>
      <c r="N42" s="363">
        <v>750</v>
      </c>
      <c r="O42" s="167"/>
      <c r="P42" s="270">
        <v>750</v>
      </c>
      <c r="Q42" s="270">
        <v>615.67999999999995</v>
      </c>
      <c r="R42" s="270">
        <v>75.209999999999994</v>
      </c>
      <c r="S42" s="270">
        <v>75.209999999999994</v>
      </c>
      <c r="T42" s="364">
        <v>50</v>
      </c>
      <c r="U42" s="364">
        <v>50</v>
      </c>
      <c r="V42" s="490">
        <f t="shared" si="12"/>
        <v>3951.5</v>
      </c>
      <c r="W42" s="469" t="e">
        <f t="shared" si="22"/>
        <v>#REF!</v>
      </c>
      <c r="X42" s="469" t="e">
        <f>$Y$32 + IF($B$2="mil",1,0.0254)*DDR2Specs!$E$9</f>
        <v>#REF!</v>
      </c>
      <c r="Y42" s="492" t="e">
        <f>$X$32 + IF($B$2="mil",1,0.0254)*DDR2Specs!$F$9</f>
        <v>#REF!</v>
      </c>
      <c r="Z42" s="491" t="e">
        <f t="shared" si="13"/>
        <v>#REF!</v>
      </c>
      <c r="AA42" s="492" t="e">
        <f t="shared" si="14"/>
        <v>#REF!</v>
      </c>
      <c r="AB42" s="490">
        <f t="shared" si="23"/>
        <v>3951.5</v>
      </c>
      <c r="AC42" s="469" t="e">
        <f t="shared" si="24"/>
        <v>#REF!</v>
      </c>
      <c r="AD42" s="469" t="e">
        <f>$AE$32 + IF($B$2="mil",1,0.0254)*DDR2Specs!$E$9</f>
        <v>#REF!</v>
      </c>
      <c r="AE42" s="469" t="e">
        <f>$AD$32 + IF($B$2="mil",1,0.0254)*DDR2Specs!$F$9</f>
        <v>#REF!</v>
      </c>
      <c r="AF42" s="491" t="e">
        <f t="shared" si="15"/>
        <v>#REF!</v>
      </c>
      <c r="AG42" s="492" t="e">
        <f t="shared" si="16"/>
        <v>#REF!</v>
      </c>
      <c r="AH42" s="472" t="e">
        <f t="shared" si="25"/>
        <v>#REF!</v>
      </c>
      <c r="AI42" s="473" t="e">
        <f t="shared" si="17"/>
        <v>#REF!</v>
      </c>
      <c r="AJ42" s="473" t="e">
        <f t="shared" si="18"/>
        <v>#REF!</v>
      </c>
      <c r="AK42" s="473" t="e">
        <f t="shared" ca="1" si="26"/>
        <v>#NAME?</v>
      </c>
      <c r="AL42" s="473" t="e">
        <f t="shared" si="27"/>
        <v>#REF!</v>
      </c>
      <c r="AM42" s="473" t="e">
        <f t="shared" si="28"/>
        <v>#REF!</v>
      </c>
      <c r="AN42" s="473" t="e">
        <f t="shared" si="19"/>
        <v>#REF!</v>
      </c>
      <c r="AO42" s="473" t="e">
        <f t="shared" si="29"/>
        <v>#REF!</v>
      </c>
      <c r="AP42" s="473" t="e">
        <f t="shared" si="30"/>
        <v>#REF!</v>
      </c>
      <c r="AQ42" s="473" t="e">
        <f t="shared" si="20"/>
        <v>#REF!</v>
      </c>
      <c r="AR42" s="473" t="e">
        <f t="shared" si="21"/>
        <v>#REF!</v>
      </c>
      <c r="AS42" s="473" t="e">
        <f t="shared" ca="1" si="31"/>
        <v>#NAME?</v>
      </c>
      <c r="AT42" s="473" t="e">
        <f t="shared" ca="1" si="32"/>
        <v>#NAME?</v>
      </c>
      <c r="AU42" s="473" t="e">
        <f t="shared" si="33"/>
        <v>#REF!</v>
      </c>
      <c r="AV42" s="473" t="e">
        <f t="shared" si="34"/>
        <v>#REF!</v>
      </c>
      <c r="AW42" s="473" t="e">
        <f t="shared" si="35"/>
        <v>#REF!</v>
      </c>
      <c r="AX42" s="474" t="e">
        <f t="shared" si="36"/>
        <v>#REF!</v>
      </c>
      <c r="AY42" s="4" t="e">
        <f t="shared" ca="1" si="37"/>
        <v>#REF!</v>
      </c>
    </row>
    <row r="43" spans="1:52" s="4" customFormat="1" x14ac:dyDescent="0.2">
      <c r="A43" s="214" t="s">
        <v>96</v>
      </c>
      <c r="B43" s="433" t="s">
        <v>486</v>
      </c>
      <c r="C43" s="562">
        <v>442.40157480314963</v>
      </c>
      <c r="D43" s="164"/>
      <c r="E43" s="199">
        <v>29.7</v>
      </c>
      <c r="F43" s="276">
        <v>0</v>
      </c>
      <c r="G43" s="270">
        <v>2382.96</v>
      </c>
      <c r="H43" s="295"/>
      <c r="I43" s="295"/>
      <c r="J43" s="294">
        <v>0</v>
      </c>
      <c r="K43" s="270">
        <v>42.2</v>
      </c>
      <c r="L43" s="296"/>
      <c r="M43" s="297">
        <v>700</v>
      </c>
      <c r="N43" s="363">
        <v>350</v>
      </c>
      <c r="O43" s="167"/>
      <c r="P43" s="270">
        <v>350</v>
      </c>
      <c r="Q43" s="270">
        <v>533.94000000000005</v>
      </c>
      <c r="R43" s="270">
        <v>117.25</v>
      </c>
      <c r="S43" s="270">
        <v>117.25</v>
      </c>
      <c r="T43" s="364">
        <v>50</v>
      </c>
      <c r="U43" s="364">
        <v>50</v>
      </c>
      <c r="V43" s="490">
        <f t="shared" si="12"/>
        <v>4163.8500000000004</v>
      </c>
      <c r="W43" s="469" t="e">
        <f t="shared" si="22"/>
        <v>#REF!</v>
      </c>
      <c r="X43" s="469" t="e">
        <f>$Y$32 + IF($B$2="mil",1,0.0254)*DDR2Specs!$E$9</f>
        <v>#REF!</v>
      </c>
      <c r="Y43" s="492" t="e">
        <f>$X$32 + IF($B$2="mil",1,0.0254)*DDR2Specs!$F$9</f>
        <v>#REF!</v>
      </c>
      <c r="Z43" s="491" t="e">
        <f t="shared" si="13"/>
        <v>#REF!</v>
      </c>
      <c r="AA43" s="492" t="e">
        <f t="shared" si="14"/>
        <v>#REF!</v>
      </c>
      <c r="AB43" s="490">
        <f t="shared" si="23"/>
        <v>4163.8500000000004</v>
      </c>
      <c r="AC43" s="469" t="e">
        <f t="shared" si="24"/>
        <v>#REF!</v>
      </c>
      <c r="AD43" s="469" t="e">
        <f>$AE$32 + IF($B$2="mil",1,0.0254)*DDR2Specs!$E$9</f>
        <v>#REF!</v>
      </c>
      <c r="AE43" s="469" t="e">
        <f>$AD$32 + IF($B$2="mil",1,0.0254)*DDR2Specs!$F$9</f>
        <v>#REF!</v>
      </c>
      <c r="AF43" s="491" t="e">
        <f t="shared" si="15"/>
        <v>#REF!</v>
      </c>
      <c r="AG43" s="492" t="e">
        <f t="shared" si="16"/>
        <v>#REF!</v>
      </c>
      <c r="AH43" s="472" t="e">
        <f t="shared" si="25"/>
        <v>#REF!</v>
      </c>
      <c r="AI43" s="473" t="e">
        <f t="shared" si="17"/>
        <v>#REF!</v>
      </c>
      <c r="AJ43" s="473" t="e">
        <f t="shared" si="18"/>
        <v>#REF!</v>
      </c>
      <c r="AK43" s="473" t="e">
        <f t="shared" ca="1" si="26"/>
        <v>#NAME?</v>
      </c>
      <c r="AL43" s="473" t="e">
        <f t="shared" si="27"/>
        <v>#REF!</v>
      </c>
      <c r="AM43" s="473" t="e">
        <f t="shared" si="28"/>
        <v>#REF!</v>
      </c>
      <c r="AN43" s="473" t="e">
        <f t="shared" si="19"/>
        <v>#REF!</v>
      </c>
      <c r="AO43" s="473" t="e">
        <f t="shared" si="29"/>
        <v>#REF!</v>
      </c>
      <c r="AP43" s="473" t="e">
        <f t="shared" si="30"/>
        <v>#REF!</v>
      </c>
      <c r="AQ43" s="473" t="e">
        <f t="shared" si="20"/>
        <v>#REF!</v>
      </c>
      <c r="AR43" s="473" t="e">
        <f t="shared" si="21"/>
        <v>#REF!</v>
      </c>
      <c r="AS43" s="473" t="e">
        <f t="shared" ca="1" si="31"/>
        <v>#NAME?</v>
      </c>
      <c r="AT43" s="473" t="e">
        <f t="shared" ca="1" si="32"/>
        <v>#NAME?</v>
      </c>
      <c r="AU43" s="473" t="e">
        <f t="shared" si="33"/>
        <v>#REF!</v>
      </c>
      <c r="AV43" s="473" t="e">
        <f t="shared" si="34"/>
        <v>#REF!</v>
      </c>
      <c r="AW43" s="473" t="e">
        <f t="shared" si="35"/>
        <v>#REF!</v>
      </c>
      <c r="AX43" s="474" t="e">
        <f t="shared" si="36"/>
        <v>#REF!</v>
      </c>
      <c r="AY43" s="4" t="e">
        <f t="shared" ca="1" si="37"/>
        <v>#REF!</v>
      </c>
    </row>
    <row r="44" spans="1:52" s="4" customFormat="1" x14ac:dyDescent="0.2">
      <c r="A44" s="214" t="s">
        <v>98</v>
      </c>
      <c r="B44" s="433" t="s">
        <v>487</v>
      </c>
      <c r="C44" s="562">
        <v>397.71653543307087</v>
      </c>
      <c r="D44" s="164"/>
      <c r="E44" s="199">
        <v>29.7</v>
      </c>
      <c r="F44" s="276">
        <v>0</v>
      </c>
      <c r="G44" s="270">
        <v>2600</v>
      </c>
      <c r="H44" s="295"/>
      <c r="I44" s="295"/>
      <c r="J44" s="294">
        <v>0</v>
      </c>
      <c r="K44" s="270">
        <v>37.5</v>
      </c>
      <c r="L44" s="296"/>
      <c r="M44" s="297">
        <v>700</v>
      </c>
      <c r="N44" s="363">
        <v>250</v>
      </c>
      <c r="O44" s="167"/>
      <c r="P44" s="270">
        <v>250</v>
      </c>
      <c r="Q44" s="270">
        <v>559.79</v>
      </c>
      <c r="R44" s="270">
        <v>37.24</v>
      </c>
      <c r="S44" s="270">
        <v>37.24</v>
      </c>
      <c r="T44" s="364">
        <v>50</v>
      </c>
      <c r="U44" s="364">
        <v>50</v>
      </c>
      <c r="V44" s="490">
        <f t="shared" si="12"/>
        <v>4226.7299999999996</v>
      </c>
      <c r="W44" s="469" t="e">
        <f t="shared" si="22"/>
        <v>#REF!</v>
      </c>
      <c r="X44" s="469" t="e">
        <f>$Y$32 + IF($B$2="mil",1,0.0254)*DDR2Specs!$E$9</f>
        <v>#REF!</v>
      </c>
      <c r="Y44" s="492" t="e">
        <f>$X$32 + IF($B$2="mil",1,0.0254)*DDR2Specs!$F$9</f>
        <v>#REF!</v>
      </c>
      <c r="Z44" s="491" t="e">
        <f t="shared" si="13"/>
        <v>#REF!</v>
      </c>
      <c r="AA44" s="492" t="e">
        <f t="shared" si="14"/>
        <v>#REF!</v>
      </c>
      <c r="AB44" s="490">
        <f t="shared" si="23"/>
        <v>4226.7299999999996</v>
      </c>
      <c r="AC44" s="469" t="e">
        <f t="shared" si="24"/>
        <v>#REF!</v>
      </c>
      <c r="AD44" s="469" t="e">
        <f>$AE$32 + IF($B$2="mil",1,0.0254)*DDR2Specs!$E$9</f>
        <v>#REF!</v>
      </c>
      <c r="AE44" s="469" t="e">
        <f>$AD$32 + IF($B$2="mil",1,0.0254)*DDR2Specs!$F$9</f>
        <v>#REF!</v>
      </c>
      <c r="AF44" s="491" t="e">
        <f t="shared" si="15"/>
        <v>#REF!</v>
      </c>
      <c r="AG44" s="492" t="e">
        <f t="shared" si="16"/>
        <v>#REF!</v>
      </c>
      <c r="AH44" s="472" t="e">
        <f t="shared" si="25"/>
        <v>#REF!</v>
      </c>
      <c r="AI44" s="473" t="e">
        <f t="shared" si="17"/>
        <v>#REF!</v>
      </c>
      <c r="AJ44" s="473" t="e">
        <f t="shared" si="18"/>
        <v>#REF!</v>
      </c>
      <c r="AK44" s="473" t="e">
        <f t="shared" ca="1" si="26"/>
        <v>#NAME?</v>
      </c>
      <c r="AL44" s="473" t="e">
        <f t="shared" si="27"/>
        <v>#REF!</v>
      </c>
      <c r="AM44" s="473" t="e">
        <f t="shared" si="28"/>
        <v>#REF!</v>
      </c>
      <c r="AN44" s="473" t="e">
        <f t="shared" si="19"/>
        <v>#REF!</v>
      </c>
      <c r="AO44" s="473" t="e">
        <f t="shared" si="29"/>
        <v>#REF!</v>
      </c>
      <c r="AP44" s="473" t="e">
        <f t="shared" si="30"/>
        <v>#REF!</v>
      </c>
      <c r="AQ44" s="473" t="e">
        <f t="shared" si="20"/>
        <v>#REF!</v>
      </c>
      <c r="AR44" s="473" t="e">
        <f t="shared" si="21"/>
        <v>#REF!</v>
      </c>
      <c r="AS44" s="473" t="e">
        <f t="shared" ca="1" si="31"/>
        <v>#NAME?</v>
      </c>
      <c r="AT44" s="473" t="e">
        <f t="shared" ca="1" si="32"/>
        <v>#NAME?</v>
      </c>
      <c r="AU44" s="473" t="e">
        <f t="shared" si="33"/>
        <v>#REF!</v>
      </c>
      <c r="AV44" s="473" t="e">
        <f t="shared" si="34"/>
        <v>#REF!</v>
      </c>
      <c r="AW44" s="473" t="e">
        <f t="shared" si="35"/>
        <v>#REF!</v>
      </c>
      <c r="AX44" s="474" t="e">
        <f t="shared" si="36"/>
        <v>#REF!</v>
      </c>
      <c r="AY44" s="4" t="e">
        <f t="shared" ca="1" si="37"/>
        <v>#REF!</v>
      </c>
    </row>
    <row r="45" spans="1:52" s="4" customFormat="1" x14ac:dyDescent="0.2">
      <c r="A45" s="214" t="s">
        <v>99</v>
      </c>
      <c r="B45" s="433" t="s">
        <v>488</v>
      </c>
      <c r="C45" s="562">
        <v>543.54330708661416</v>
      </c>
      <c r="D45" s="164"/>
      <c r="E45" s="199">
        <v>29.7</v>
      </c>
      <c r="F45" s="276">
        <v>0</v>
      </c>
      <c r="G45" s="270">
        <v>2356.5300000000002</v>
      </c>
      <c r="H45" s="295"/>
      <c r="I45" s="295"/>
      <c r="J45" s="294">
        <v>0</v>
      </c>
      <c r="K45" s="270">
        <v>31.91</v>
      </c>
      <c r="L45" s="296"/>
      <c r="M45" s="297">
        <v>700</v>
      </c>
      <c r="N45" s="363">
        <v>250</v>
      </c>
      <c r="O45" s="167"/>
      <c r="P45" s="270">
        <v>250</v>
      </c>
      <c r="Q45" s="270">
        <v>632.15</v>
      </c>
      <c r="R45" s="270">
        <v>72.760000000000005</v>
      </c>
      <c r="S45" s="270">
        <v>72.760000000000005</v>
      </c>
      <c r="T45" s="364">
        <v>50</v>
      </c>
      <c r="U45" s="364">
        <v>50</v>
      </c>
      <c r="V45" s="490">
        <f t="shared" si="12"/>
        <v>4091.1400000000003</v>
      </c>
      <c r="W45" s="469" t="e">
        <f t="shared" si="22"/>
        <v>#REF!</v>
      </c>
      <c r="X45" s="469" t="e">
        <f>$Y$32 + IF($B$2="mil",1,0.0254)*DDR2Specs!$E$9</f>
        <v>#REF!</v>
      </c>
      <c r="Y45" s="492" t="e">
        <f>$X$32 + IF($B$2="mil",1,0.0254)*DDR2Specs!$F$9</f>
        <v>#REF!</v>
      </c>
      <c r="Z45" s="491" t="e">
        <f t="shared" si="13"/>
        <v>#REF!</v>
      </c>
      <c r="AA45" s="492" t="e">
        <f t="shared" si="14"/>
        <v>#REF!</v>
      </c>
      <c r="AB45" s="490">
        <f t="shared" si="23"/>
        <v>4091.1400000000003</v>
      </c>
      <c r="AC45" s="469" t="e">
        <f t="shared" si="24"/>
        <v>#REF!</v>
      </c>
      <c r="AD45" s="469" t="e">
        <f>$AE$32 + IF($B$2="mil",1,0.0254)*DDR2Specs!$E$9</f>
        <v>#REF!</v>
      </c>
      <c r="AE45" s="469" t="e">
        <f>$AD$32 + IF($B$2="mil",1,0.0254)*DDR2Specs!$F$9</f>
        <v>#REF!</v>
      </c>
      <c r="AF45" s="491" t="e">
        <f t="shared" si="15"/>
        <v>#REF!</v>
      </c>
      <c r="AG45" s="492" t="e">
        <f t="shared" si="16"/>
        <v>#REF!</v>
      </c>
      <c r="AH45" s="472" t="e">
        <f t="shared" si="25"/>
        <v>#REF!</v>
      </c>
      <c r="AI45" s="473" t="e">
        <f t="shared" si="17"/>
        <v>#REF!</v>
      </c>
      <c r="AJ45" s="473" t="e">
        <f t="shared" si="18"/>
        <v>#REF!</v>
      </c>
      <c r="AK45" s="473" t="e">
        <f t="shared" ca="1" si="26"/>
        <v>#NAME?</v>
      </c>
      <c r="AL45" s="473" t="e">
        <f t="shared" si="27"/>
        <v>#REF!</v>
      </c>
      <c r="AM45" s="473" t="e">
        <f t="shared" si="28"/>
        <v>#REF!</v>
      </c>
      <c r="AN45" s="473" t="e">
        <f t="shared" si="19"/>
        <v>#REF!</v>
      </c>
      <c r="AO45" s="473" t="e">
        <f t="shared" si="29"/>
        <v>#REF!</v>
      </c>
      <c r="AP45" s="473" t="e">
        <f t="shared" si="30"/>
        <v>#REF!</v>
      </c>
      <c r="AQ45" s="473" t="e">
        <f t="shared" si="20"/>
        <v>#REF!</v>
      </c>
      <c r="AR45" s="473" t="e">
        <f t="shared" si="21"/>
        <v>#REF!</v>
      </c>
      <c r="AS45" s="473" t="e">
        <f t="shared" ca="1" si="31"/>
        <v>#NAME?</v>
      </c>
      <c r="AT45" s="473" t="e">
        <f t="shared" ca="1" si="32"/>
        <v>#NAME?</v>
      </c>
      <c r="AU45" s="473" t="e">
        <f t="shared" si="33"/>
        <v>#REF!</v>
      </c>
      <c r="AV45" s="473" t="e">
        <f t="shared" si="34"/>
        <v>#REF!</v>
      </c>
      <c r="AW45" s="473" t="e">
        <f t="shared" si="35"/>
        <v>#REF!</v>
      </c>
      <c r="AX45" s="474" t="e">
        <f t="shared" si="36"/>
        <v>#REF!</v>
      </c>
      <c r="AY45" s="4" t="e">
        <f t="shared" ca="1" si="37"/>
        <v>#REF!</v>
      </c>
    </row>
    <row r="46" spans="1:52" s="4" customFormat="1" x14ac:dyDescent="0.2">
      <c r="A46" s="214" t="s">
        <v>100</v>
      </c>
      <c r="B46" s="433" t="s">
        <v>489</v>
      </c>
      <c r="C46" s="562">
        <v>492.79527559055117</v>
      </c>
      <c r="D46" s="164"/>
      <c r="E46" s="199">
        <v>29.7</v>
      </c>
      <c r="F46" s="276">
        <v>0</v>
      </c>
      <c r="G46" s="270">
        <v>2564.5700000000002</v>
      </c>
      <c r="H46" s="295"/>
      <c r="I46" s="295"/>
      <c r="J46" s="294">
        <v>0</v>
      </c>
      <c r="K46" s="270">
        <v>37.74</v>
      </c>
      <c r="L46" s="296"/>
      <c r="M46" s="297">
        <v>700</v>
      </c>
      <c r="N46" s="363">
        <v>140</v>
      </c>
      <c r="O46" s="167"/>
      <c r="P46" s="270">
        <v>140</v>
      </c>
      <c r="Q46" s="270">
        <v>566.39</v>
      </c>
      <c r="R46" s="270">
        <v>77.489999999999995</v>
      </c>
      <c r="S46" s="270">
        <v>77.489999999999995</v>
      </c>
      <c r="T46" s="364">
        <v>50</v>
      </c>
      <c r="U46" s="364">
        <v>50</v>
      </c>
      <c r="V46" s="490">
        <f t="shared" si="12"/>
        <v>4128.1499999999996</v>
      </c>
      <c r="W46" s="469" t="e">
        <f t="shared" si="22"/>
        <v>#REF!</v>
      </c>
      <c r="X46" s="469" t="e">
        <f>$Y$32 + IF($B$2="mil",1,0.0254)*DDR2Specs!$E$9</f>
        <v>#REF!</v>
      </c>
      <c r="Y46" s="492" t="e">
        <f>$X$32 + IF($B$2="mil",1,0.0254)*DDR2Specs!$F$9</f>
        <v>#REF!</v>
      </c>
      <c r="Z46" s="491" t="e">
        <f t="shared" si="13"/>
        <v>#REF!</v>
      </c>
      <c r="AA46" s="492" t="e">
        <f t="shared" si="14"/>
        <v>#REF!</v>
      </c>
      <c r="AB46" s="490">
        <f t="shared" si="23"/>
        <v>4128.1499999999996</v>
      </c>
      <c r="AC46" s="469" t="e">
        <f t="shared" si="24"/>
        <v>#REF!</v>
      </c>
      <c r="AD46" s="469" t="e">
        <f>$AE$32 + IF($B$2="mil",1,0.0254)*DDR2Specs!$E$9</f>
        <v>#REF!</v>
      </c>
      <c r="AE46" s="469" t="e">
        <f>$AD$32 + IF($B$2="mil",1,0.0254)*DDR2Specs!$F$9</f>
        <v>#REF!</v>
      </c>
      <c r="AF46" s="491" t="e">
        <f t="shared" si="15"/>
        <v>#REF!</v>
      </c>
      <c r="AG46" s="492" t="e">
        <f t="shared" si="16"/>
        <v>#REF!</v>
      </c>
      <c r="AH46" s="472" t="e">
        <f t="shared" si="25"/>
        <v>#REF!</v>
      </c>
      <c r="AI46" s="473" t="e">
        <f t="shared" si="17"/>
        <v>#REF!</v>
      </c>
      <c r="AJ46" s="473" t="e">
        <f t="shared" si="18"/>
        <v>#REF!</v>
      </c>
      <c r="AK46" s="473" t="e">
        <f t="shared" ca="1" si="26"/>
        <v>#NAME?</v>
      </c>
      <c r="AL46" s="473" t="e">
        <f t="shared" si="27"/>
        <v>#REF!</v>
      </c>
      <c r="AM46" s="473" t="e">
        <f t="shared" si="28"/>
        <v>#REF!</v>
      </c>
      <c r="AN46" s="473" t="e">
        <f t="shared" si="19"/>
        <v>#REF!</v>
      </c>
      <c r="AO46" s="473" t="e">
        <f t="shared" si="29"/>
        <v>#REF!</v>
      </c>
      <c r="AP46" s="473" t="e">
        <f t="shared" si="30"/>
        <v>#REF!</v>
      </c>
      <c r="AQ46" s="473" t="e">
        <f t="shared" si="20"/>
        <v>#REF!</v>
      </c>
      <c r="AR46" s="473" t="e">
        <f t="shared" si="21"/>
        <v>#REF!</v>
      </c>
      <c r="AS46" s="473" t="e">
        <f t="shared" ca="1" si="31"/>
        <v>#NAME?</v>
      </c>
      <c r="AT46" s="473" t="e">
        <f t="shared" ca="1" si="32"/>
        <v>#NAME?</v>
      </c>
      <c r="AU46" s="473" t="e">
        <f t="shared" si="33"/>
        <v>#REF!</v>
      </c>
      <c r="AV46" s="473" t="e">
        <f t="shared" si="34"/>
        <v>#REF!</v>
      </c>
      <c r="AW46" s="473" t="e">
        <f t="shared" si="35"/>
        <v>#REF!</v>
      </c>
      <c r="AX46" s="474" t="e">
        <f t="shared" si="36"/>
        <v>#REF!</v>
      </c>
      <c r="AY46" s="4" t="e">
        <f t="shared" ca="1" si="37"/>
        <v>#REF!</v>
      </c>
    </row>
    <row r="47" spans="1:52" s="4" customFormat="1" x14ac:dyDescent="0.2">
      <c r="A47" s="214" t="s">
        <v>101</v>
      </c>
      <c r="B47" s="433" t="s">
        <v>380</v>
      </c>
      <c r="C47" s="562">
        <v>514.48818897637796</v>
      </c>
      <c r="D47" s="164"/>
      <c r="E47" s="199">
        <v>29.7</v>
      </c>
      <c r="F47" s="276">
        <v>0</v>
      </c>
      <c r="G47" s="270">
        <v>2464.5700000000002</v>
      </c>
      <c r="H47" s="295"/>
      <c r="I47" s="295"/>
      <c r="J47" s="294">
        <v>0</v>
      </c>
      <c r="K47" s="270">
        <v>37.74</v>
      </c>
      <c r="L47" s="296"/>
      <c r="M47" s="297">
        <v>700</v>
      </c>
      <c r="N47" s="363">
        <v>120</v>
      </c>
      <c r="O47" s="167"/>
      <c r="P47" s="270">
        <v>120</v>
      </c>
      <c r="Q47" s="270">
        <v>566.39</v>
      </c>
      <c r="R47" s="270">
        <v>77.489999999999995</v>
      </c>
      <c r="S47" s="270">
        <v>77.489999999999995</v>
      </c>
      <c r="T47" s="364">
        <v>50</v>
      </c>
      <c r="U47" s="364">
        <v>50</v>
      </c>
      <c r="V47" s="490">
        <f t="shared" si="12"/>
        <v>4008.1499999999996</v>
      </c>
      <c r="W47" s="469" t="e">
        <f t="shared" si="22"/>
        <v>#REF!</v>
      </c>
      <c r="X47" s="469" t="e">
        <f>$Y$32 + IF($B$2="mil",1,0.0254)*DDR2Specs!$E$9</f>
        <v>#REF!</v>
      </c>
      <c r="Y47" s="492" t="e">
        <f>$X$32 + IF($B$2="mil",1,0.0254)*DDR2Specs!$F$9</f>
        <v>#REF!</v>
      </c>
      <c r="Z47" s="491" t="e">
        <f t="shared" si="13"/>
        <v>#REF!</v>
      </c>
      <c r="AA47" s="492" t="e">
        <f t="shared" si="14"/>
        <v>#REF!</v>
      </c>
      <c r="AB47" s="490">
        <f t="shared" si="23"/>
        <v>4008.1499999999996</v>
      </c>
      <c r="AC47" s="469" t="e">
        <f>$AB47+IF($B$2="mil",1,0.0254)*$C47</f>
        <v>#REF!</v>
      </c>
      <c r="AD47" s="469" t="e">
        <f>$AE$32 + IF($B$2="mil",1,0.0254)*DDR2Specs!$E$9</f>
        <v>#REF!</v>
      </c>
      <c r="AE47" s="469" t="e">
        <f>$AD$32 + IF($B$2="mil",1,0.0254)*DDR2Specs!$F$9</f>
        <v>#REF!</v>
      </c>
      <c r="AF47" s="491" t="e">
        <f t="shared" si="15"/>
        <v>#REF!</v>
      </c>
      <c r="AG47" s="492" t="e">
        <f t="shared" si="16"/>
        <v>#REF!</v>
      </c>
      <c r="AH47" s="472" t="e">
        <f t="shared" si="25"/>
        <v>#REF!</v>
      </c>
      <c r="AI47" s="473" t="e">
        <f t="shared" si="17"/>
        <v>#REF!</v>
      </c>
      <c r="AJ47" s="473" t="e">
        <f t="shared" si="18"/>
        <v>#REF!</v>
      </c>
      <c r="AK47" s="473" t="e">
        <f t="shared" ca="1" si="26"/>
        <v>#NAME?</v>
      </c>
      <c r="AL47" s="473" t="e">
        <f t="shared" si="27"/>
        <v>#REF!</v>
      </c>
      <c r="AM47" s="473" t="e">
        <f t="shared" si="28"/>
        <v>#REF!</v>
      </c>
      <c r="AN47" s="473" t="e">
        <f t="shared" si="19"/>
        <v>#REF!</v>
      </c>
      <c r="AO47" s="473" t="e">
        <f t="shared" si="29"/>
        <v>#REF!</v>
      </c>
      <c r="AP47" s="473" t="e">
        <f t="shared" si="30"/>
        <v>#REF!</v>
      </c>
      <c r="AQ47" s="473" t="e">
        <f t="shared" si="20"/>
        <v>#REF!</v>
      </c>
      <c r="AR47" s="473" t="e">
        <f t="shared" si="21"/>
        <v>#REF!</v>
      </c>
      <c r="AS47" s="473" t="e">
        <f t="shared" ca="1" si="31"/>
        <v>#NAME?</v>
      </c>
      <c r="AT47" s="473" t="e">
        <f t="shared" ca="1" si="32"/>
        <v>#NAME?</v>
      </c>
      <c r="AU47" s="473" t="e">
        <f t="shared" si="33"/>
        <v>#REF!</v>
      </c>
      <c r="AV47" s="473" t="e">
        <f t="shared" si="34"/>
        <v>#REF!</v>
      </c>
      <c r="AW47" s="473" t="e">
        <f t="shared" si="35"/>
        <v>#REF!</v>
      </c>
      <c r="AX47" s="474" t="e">
        <f t="shared" si="36"/>
        <v>#REF!</v>
      </c>
      <c r="AY47" s="4" t="e">
        <f t="shared" ca="1" si="37"/>
        <v>#REF!</v>
      </c>
    </row>
    <row r="48" spans="1:52" s="4" customFormat="1" ht="11.25" x14ac:dyDescent="0.2">
      <c r="A48" s="180" t="s">
        <v>278</v>
      </c>
      <c r="B48" s="180"/>
      <c r="C48" s="566"/>
      <c r="D48" s="155"/>
      <c r="E48" s="134"/>
      <c r="F48" s="181"/>
      <c r="G48" s="298"/>
      <c r="H48" s="299"/>
      <c r="I48" s="299"/>
      <c r="J48" s="298"/>
      <c r="K48" s="298"/>
      <c r="L48" s="298"/>
      <c r="M48" s="298"/>
      <c r="N48" s="426"/>
      <c r="O48" s="308"/>
      <c r="P48" s="298"/>
      <c r="Q48" s="298"/>
      <c r="R48" s="298"/>
      <c r="S48" s="298"/>
      <c r="T48" s="388"/>
      <c r="U48" s="388"/>
      <c r="V48" s="182"/>
      <c r="W48" s="182"/>
      <c r="X48" s="182"/>
      <c r="Y48" s="515"/>
      <c r="Z48" s="385"/>
      <c r="AA48" s="385"/>
      <c r="AB48" s="385"/>
      <c r="AC48" s="385"/>
      <c r="AD48" s="385"/>
      <c r="AE48" s="385"/>
      <c r="AF48" s="385"/>
      <c r="AG48" s="385"/>
      <c r="AH48" s="385"/>
      <c r="AI48" s="493"/>
      <c r="AJ48" s="155"/>
      <c r="AK48" s="155"/>
      <c r="AL48" s="155"/>
      <c r="AM48" s="155"/>
      <c r="AN48" s="155"/>
      <c r="AO48" s="155"/>
      <c r="AP48" s="155"/>
      <c r="AQ48" s="155"/>
      <c r="AR48" s="155"/>
      <c r="AS48" s="155"/>
      <c r="AT48" s="155"/>
      <c r="AU48" s="155"/>
      <c r="AV48" s="385"/>
      <c r="AW48" s="155"/>
      <c r="AX48" s="494"/>
    </row>
    <row r="49" spans="1:52" s="4" customFormat="1" x14ac:dyDescent="0.2">
      <c r="A49" s="161" t="s">
        <v>102</v>
      </c>
      <c r="B49" s="433" t="s">
        <v>490</v>
      </c>
      <c r="C49" s="562">
        <v>428.58267716535431</v>
      </c>
      <c r="D49" s="164"/>
      <c r="E49" s="199">
        <v>29.7</v>
      </c>
      <c r="F49" s="199">
        <v>0</v>
      </c>
      <c r="G49" s="270">
        <v>2650.64</v>
      </c>
      <c r="H49" s="295"/>
      <c r="I49" s="295"/>
      <c r="J49" s="294">
        <v>0</v>
      </c>
      <c r="K49" s="297">
        <v>40</v>
      </c>
      <c r="L49" s="296"/>
      <c r="M49" s="297">
        <v>600</v>
      </c>
      <c r="N49" s="363">
        <v>40.28</v>
      </c>
      <c r="O49" s="167"/>
      <c r="P49" s="270">
        <v>40.28</v>
      </c>
      <c r="Q49" s="270">
        <v>570.59</v>
      </c>
      <c r="R49" s="297">
        <v>72.239999999999995</v>
      </c>
      <c r="S49" s="297">
        <v>72.239999999999995</v>
      </c>
      <c r="T49" s="364">
        <v>50</v>
      </c>
      <c r="U49" s="364">
        <v>50</v>
      </c>
      <c r="V49" s="490">
        <f>SUM($E49:$G49,$M49,$Q49:$R49,$N49,$T49)</f>
        <v>4013.45</v>
      </c>
      <c r="W49" s="469" t="e">
        <f t="shared" si="22"/>
        <v>#REF!</v>
      </c>
      <c r="X49" s="469" t="e">
        <f>$Y$32 + IF($B$2="mil",1,0.0254)*DDR2Specs!$E$9</f>
        <v>#REF!</v>
      </c>
      <c r="Y49" s="492" t="e">
        <f>$X$32 + IF($B$2="mil",1,0.0254)*DDR2Specs!$F$9</f>
        <v>#REF!</v>
      </c>
      <c r="Z49" s="491" t="e">
        <f>IF($W49&lt;$X49,$X49-$W49,"Pass")</f>
        <v>#REF!</v>
      </c>
      <c r="AA49" s="492" t="e">
        <f>IF($W49&gt;$Y49,$W49-$Y49,"Pass")</f>
        <v>#REF!</v>
      </c>
      <c r="AB49" s="490">
        <f t="shared" si="23"/>
        <v>4013.45</v>
      </c>
      <c r="AC49" s="469" t="e">
        <f>$AB49+IF($B$2="mil",1,0.0254)*$C49</f>
        <v>#REF!</v>
      </c>
      <c r="AD49" s="469" t="e">
        <f>$AE$32 + IF($B$2="mil",1,0.0254)*DDR2Specs!$E$9</f>
        <v>#REF!</v>
      </c>
      <c r="AE49" s="469" t="e">
        <f>$AD$32 + IF($B$2="mil",1,0.0254)*DDR2Specs!$F$9</f>
        <v>#REF!</v>
      </c>
      <c r="AF49" s="491" t="e">
        <f>IF($AC49&lt;$AD49,$AD49-$AC49,"Pass")</f>
        <v>#REF!</v>
      </c>
      <c r="AG49" s="492" t="e">
        <f>IF($AC49&gt;$AE49,$AC49-$AE49,"Pass")</f>
        <v>#REF!</v>
      </c>
      <c r="AH49" s="472" t="e">
        <f>IF($E49&lt;=IF($B$2="mil",1,0.0254)*50,"Pass",IF($B$2="mil",1,0.0254)*50-$E49)</f>
        <v>#REF!</v>
      </c>
      <c r="AI49" s="473" t="e">
        <f>IF($F49&lt;=IF($B$2="mil",1,0.0254)*500,"Pass",IF($B$2="mil",1,0.0254)*500-$F49)</f>
        <v>#REF!</v>
      </c>
      <c r="AJ49" s="473" t="e">
        <f>IF($J49&lt;=IF($B$2="mil",1,0.0254)*1000,"Pass",IF($B$2="mil",1,0.0254)*1000-$J49)</f>
        <v>#REF!</v>
      </c>
      <c r="AK49" s="473" t="e">
        <f ca="1">CheckLength2(1200,J49,K49,0)</f>
        <v>#NAME?</v>
      </c>
      <c r="AL49" s="473" t="e">
        <f>IF(M49&lt;=IF($B$2="mil",1,0.0254)*2000,"Pass",IF($B$2="mil",1,0.0254)*2000-M49)</f>
        <v>#REF!</v>
      </c>
      <c r="AM49" s="473" t="e">
        <f>IF(N49&lt;=IF($B$2="mil",1,0.0254)*1000,"Pass",IF($B$2="mil",1,0.0254)*1000-N49)</f>
        <v>#REF!</v>
      </c>
      <c r="AN49" s="473" t="e">
        <f>IF(MAX(N49,P49)-MIN(N49,P49)&lt;=IF($B$2="mil",1,0.0254)*50,"Pass",MAX(N49,P49)-MIN(N49,P49)-IF($B$2="mil",1,0.0254)*50)</f>
        <v>#REF!</v>
      </c>
      <c r="AO49" s="473" t="e">
        <f>IF($Q49&lt;=IF($B$2="mil",1,0.0254)*1000,"Pass",IF($B$2="mil",1,0.0254)*1000-$Q49)</f>
        <v>#REF!</v>
      </c>
      <c r="AP49" s="473" t="e">
        <f t="shared" si="30"/>
        <v>#REF!</v>
      </c>
      <c r="AQ49" s="473" t="e">
        <f>IF($R49&lt;=IF($B$2="mil",1,0.0254)*750,"Pass",IF($B$2="mil",1,0.0254)*750-$R49)</f>
        <v>#REF!</v>
      </c>
      <c r="AR49" s="473" t="e">
        <f>IF($S49&lt;=IF($B$2="mil",1,0.0254)*750,"Pass",IF($B$2="mil",1,0.0254)*750-$S49)</f>
        <v>#REF!</v>
      </c>
      <c r="AS49" s="473" t="e">
        <f t="shared" ref="AS49:AT51" ca="1" si="38">CheckLength2(IF($B$2="mil",1,0.0254)*950,R49,T49,0)</f>
        <v>#NAME?</v>
      </c>
      <c r="AT49" s="473" t="e">
        <f t="shared" ca="1" si="38"/>
        <v>#NAME?</v>
      </c>
      <c r="AU49" s="473" t="e">
        <f>IF(AND($V49&gt;=IF($B$2="mil",1,0.0254)*500, $V49&lt;=IF($B$2="mil",1,0.0254)*6500),"Pass",IF($B$2="mil",1,0.0254)*6500-$V49)</f>
        <v>#REF!</v>
      </c>
      <c r="AV49" s="473" t="e">
        <f>IF(AND($W49&gt;=IF($B$2="mil",1,0.0254)*500, $W49&lt;=IF($B$2="mil",1,0.0254)*7000),"Pass",IF($B$2="mil",1,0.0254)*7000-$W49)</f>
        <v>#REF!</v>
      </c>
      <c r="AW49" s="473" t="e">
        <f>IF(AND($AB49&gt;=IF($B$2="mil",1,0.0254)*500, $AB49&lt;=IF($B$2="mil",1,0.0254)*6500),"Pass",IF($B$2="mil",1,0.0254)*6500-$AB49)</f>
        <v>#REF!</v>
      </c>
      <c r="AX49" s="474" t="e">
        <f>IF(AND($AC49&gt;=IF($B$2="mil",1,0.0254)*500, $AC49&lt;=IF($B$2="mil",1,0.0254)*7000),"Pass",IF($B$2="mil",1,0.0254)*7000-$AC49)</f>
        <v>#REF!</v>
      </c>
      <c r="AY49" s="4" t="e">
        <f t="shared" ca="1" si="37"/>
        <v>#REF!</v>
      </c>
    </row>
    <row r="50" spans="1:52" s="4" customFormat="1" x14ac:dyDescent="0.2">
      <c r="A50" s="215" t="s">
        <v>103</v>
      </c>
      <c r="B50" s="433" t="s">
        <v>414</v>
      </c>
      <c r="C50" s="562">
        <v>331.69291338582678</v>
      </c>
      <c r="D50" s="236"/>
      <c r="E50" s="199">
        <v>29.7</v>
      </c>
      <c r="F50" s="286">
        <v>0</v>
      </c>
      <c r="G50" s="270">
        <v>2430</v>
      </c>
      <c r="H50" s="295"/>
      <c r="I50" s="295"/>
      <c r="J50" s="301">
        <v>0</v>
      </c>
      <c r="K50" s="297">
        <v>37.5</v>
      </c>
      <c r="L50" s="296"/>
      <c r="M50" s="297">
        <v>600</v>
      </c>
      <c r="N50" s="363">
        <v>313.86</v>
      </c>
      <c r="O50" s="167"/>
      <c r="P50" s="270">
        <v>313.86</v>
      </c>
      <c r="Q50" s="270">
        <v>585.74</v>
      </c>
      <c r="R50" s="297">
        <v>51.87</v>
      </c>
      <c r="S50" s="297">
        <v>51.87</v>
      </c>
      <c r="T50" s="364">
        <v>50</v>
      </c>
      <c r="U50" s="364">
        <v>50</v>
      </c>
      <c r="V50" s="490">
        <f>SUM($E50:$G50,$M50,$Q50:$R50,$N50,$T50)</f>
        <v>4061.1699999999996</v>
      </c>
      <c r="W50" s="469" t="e">
        <f t="shared" si="22"/>
        <v>#REF!</v>
      </c>
      <c r="X50" s="469" t="e">
        <f>$Y$32 + IF($B$2="mil",1,0.0254)*DDR2Specs!$E$9</f>
        <v>#REF!</v>
      </c>
      <c r="Y50" s="492" t="e">
        <f>$X$32 + IF($B$2="mil",1,0.0254)*DDR2Specs!$F$9</f>
        <v>#REF!</v>
      </c>
      <c r="Z50" s="491" t="e">
        <f>IF($W50&lt;$X50,$X50-$W50,"Pass")</f>
        <v>#REF!</v>
      </c>
      <c r="AA50" s="492" t="e">
        <f>IF($W50&gt;$Y50,$W50-$Y50,"Pass")</f>
        <v>#REF!</v>
      </c>
      <c r="AB50" s="490">
        <f t="shared" si="23"/>
        <v>4061.1699999999996</v>
      </c>
      <c r="AC50" s="469" t="e">
        <f>$AB50+IF($B$2="mil",1,0.0254)*$C50</f>
        <v>#REF!</v>
      </c>
      <c r="AD50" s="469" t="e">
        <f>$AE$32 + IF($B$2="mil",1,0.0254)*DDR2Specs!$E$9</f>
        <v>#REF!</v>
      </c>
      <c r="AE50" s="469" t="e">
        <f>$AD$32 + IF($B$2="mil",1,0.0254)*DDR2Specs!$F$9</f>
        <v>#REF!</v>
      </c>
      <c r="AF50" s="491" t="e">
        <f>IF($AC50&lt;$AD50,$AD50-$AC50,"Pass")</f>
        <v>#REF!</v>
      </c>
      <c r="AG50" s="492" t="e">
        <f>IF($AC50&gt;$AE50,$AC50-$AE50,"Pass")</f>
        <v>#REF!</v>
      </c>
      <c r="AH50" s="472" t="e">
        <f>IF($E50&lt;=IF($B$2="mil",1,0.0254)*50,"Pass",IF($B$2="mil",1,0.0254)*50-$E50)</f>
        <v>#REF!</v>
      </c>
      <c r="AI50" s="473" t="e">
        <f>IF($F50&lt;=IF($B$2="mil",1,0.0254)*500,"Pass",IF($B$2="mil",1,0.0254)*500-$F50)</f>
        <v>#REF!</v>
      </c>
      <c r="AJ50" s="473" t="e">
        <f>IF($J50&lt;=IF($B$2="mil",1,0.0254)*1000,"Pass",IF($B$2="mil",1,0.0254)*1000-$J50)</f>
        <v>#REF!</v>
      </c>
      <c r="AK50" s="473" t="e">
        <f ca="1">CheckLength2(1200,J50,K50,0)</f>
        <v>#NAME?</v>
      </c>
      <c r="AL50" s="473" t="e">
        <f>IF(M50&lt;=IF($B$2="mil",1,0.0254)*2000,"Pass",IF($B$2="mil",1,0.0254)*2000-M50)</f>
        <v>#REF!</v>
      </c>
      <c r="AM50" s="473" t="e">
        <f>IF(N50&lt;=IF($B$2="mil",1,0.0254)*1000,"Pass",IF($B$2="mil",1,0.0254)*1000-N50)</f>
        <v>#REF!</v>
      </c>
      <c r="AN50" s="473" t="e">
        <f>IF(MAX(N50,P50)-MIN(N50,P50)&lt;=IF($B$2="mil",1,0.0254)*50,"Pass",MAX(N50,P50)-MIN(N50,P50)-IF($B$2="mil",1,0.0254)*50)</f>
        <v>#REF!</v>
      </c>
      <c r="AO50" s="473" t="e">
        <f>IF($Q50&lt;=IF($B$2="mil",1,0.0254)*1000,"Pass",IF($B$2="mil",1,0.0254)*1000-$Q50)</f>
        <v>#REF!</v>
      </c>
      <c r="AP50" s="473" t="e">
        <f t="shared" si="30"/>
        <v>#REF!</v>
      </c>
      <c r="AQ50" s="473" t="e">
        <f>IF($R50&lt;=IF($B$2="mil",1,0.0254)*750,"Pass",IF($B$2="mil",1,0.0254)*750-$R50)</f>
        <v>#REF!</v>
      </c>
      <c r="AR50" s="473" t="e">
        <f>IF($S50&lt;=IF($B$2="mil",1,0.0254)*750,"Pass",IF($B$2="mil",1,0.0254)*750-$S50)</f>
        <v>#REF!</v>
      </c>
      <c r="AS50" s="473" t="e">
        <f t="shared" ca="1" si="38"/>
        <v>#NAME?</v>
      </c>
      <c r="AT50" s="473" t="e">
        <f t="shared" ca="1" si="38"/>
        <v>#NAME?</v>
      </c>
      <c r="AU50" s="473" t="e">
        <f>IF(AND($V50&gt;=IF($B$2="mil",1,0.0254)*500, $V50&lt;=IF($B$2="mil",1,0.0254)*6500),"Pass",IF($B$2="mil",1,0.0254)*6500-$V50)</f>
        <v>#REF!</v>
      </c>
      <c r="AV50" s="473" t="e">
        <f>IF(AND($W50&gt;=IF($B$2="mil",1,0.0254)*500, $W50&lt;=IF($B$2="mil",1,0.0254)*7000),"Pass",IF($B$2="mil",1,0.0254)*7000-$W50)</f>
        <v>#REF!</v>
      </c>
      <c r="AW50" s="473" t="e">
        <f>IF(AND($AB50&gt;=IF($B$2="mil",1,0.0254)*500, $AB50&lt;=IF($B$2="mil",1,0.0254)*6500),"Pass",IF($B$2="mil",1,0.0254)*6500-$AB50)</f>
        <v>#REF!</v>
      </c>
      <c r="AX50" s="474" t="e">
        <f>IF(AND($AC50&gt;=IF($B$2="mil",1,0.0254)*500, $AC50&lt;=IF($B$2="mil",1,0.0254)*7000),"Pass",IF($B$2="mil",1,0.0254)*7000-$AC50)</f>
        <v>#REF!</v>
      </c>
      <c r="AY50" s="4" t="e">
        <f t="shared" ca="1" si="37"/>
        <v>#REF!</v>
      </c>
    </row>
    <row r="51" spans="1:52" s="4" customFormat="1" x14ac:dyDescent="0.2">
      <c r="A51" s="215" t="s">
        <v>104</v>
      </c>
      <c r="B51" s="433" t="s">
        <v>491</v>
      </c>
      <c r="C51" s="562">
        <v>384.5275590551181</v>
      </c>
      <c r="D51" s="190"/>
      <c r="E51" s="199">
        <v>29.7</v>
      </c>
      <c r="F51" s="286">
        <v>0</v>
      </c>
      <c r="G51" s="270">
        <v>2400</v>
      </c>
      <c r="H51" s="295"/>
      <c r="I51" s="295"/>
      <c r="J51" s="301">
        <v>0</v>
      </c>
      <c r="K51" s="297">
        <v>40</v>
      </c>
      <c r="L51" s="296"/>
      <c r="M51" s="297">
        <v>600</v>
      </c>
      <c r="N51" s="363">
        <v>477.88</v>
      </c>
      <c r="O51" s="167"/>
      <c r="P51" s="270">
        <v>477.88</v>
      </c>
      <c r="Q51" s="270">
        <v>541.1</v>
      </c>
      <c r="R51" s="297">
        <v>74.75</v>
      </c>
      <c r="S51" s="297">
        <v>74.75</v>
      </c>
      <c r="T51" s="364">
        <v>50</v>
      </c>
      <c r="U51" s="364">
        <v>50</v>
      </c>
      <c r="V51" s="490">
        <f>SUM($E51:$G51,$M51,$Q51:$R51,$N51,$T51)</f>
        <v>4173.4299999999994</v>
      </c>
      <c r="W51" s="469" t="e">
        <f t="shared" si="22"/>
        <v>#REF!</v>
      </c>
      <c r="X51" s="469" t="e">
        <f>$Y$32 + IF($B$2="mil",1,0.0254)*DDR2Specs!$E$9</f>
        <v>#REF!</v>
      </c>
      <c r="Y51" s="492" t="e">
        <f>$X$32 + IF($B$2="mil",1,0.0254)*DDR2Specs!$F$9</f>
        <v>#REF!</v>
      </c>
      <c r="Z51" s="491" t="e">
        <f>IF($W51&lt;$X51,$X51-$W51,"Pass")</f>
        <v>#REF!</v>
      </c>
      <c r="AA51" s="492" t="e">
        <f>IF($W51&gt;$Y51,$W51-$Y51,"Pass")</f>
        <v>#REF!</v>
      </c>
      <c r="AB51" s="490">
        <f t="shared" si="23"/>
        <v>4173.43</v>
      </c>
      <c r="AC51" s="469" t="e">
        <f>$AB51+IF($B$2="mil",1,0.0254)*$C51</f>
        <v>#REF!</v>
      </c>
      <c r="AD51" s="469" t="e">
        <f>$AE$32 + IF($B$2="mil",1,0.0254)*DDR2Specs!$E$9</f>
        <v>#REF!</v>
      </c>
      <c r="AE51" s="469" t="e">
        <f>$AD$32 + IF($B$2="mil",1,0.0254)*DDR2Specs!$F$9</f>
        <v>#REF!</v>
      </c>
      <c r="AF51" s="491" t="e">
        <f>IF($AC51&lt;$AD51,$AD51-$AC51,"Pass")</f>
        <v>#REF!</v>
      </c>
      <c r="AG51" s="492" t="e">
        <f>IF($AC51&gt;$AE51,$AC51-$AE51,"Pass")</f>
        <v>#REF!</v>
      </c>
      <c r="AH51" s="472" t="e">
        <f>IF($E51&lt;=IF($B$2="mil",1,0.0254)*50,"Pass",IF($B$2="mil",1,0.0254)*50-$E51)</f>
        <v>#REF!</v>
      </c>
      <c r="AI51" s="473" t="e">
        <f>IF($F51&lt;=IF($B$2="mil",1,0.0254)*500,"Pass",IF($B$2="mil",1,0.0254)*500-$F51)</f>
        <v>#REF!</v>
      </c>
      <c r="AJ51" s="473" t="e">
        <f>IF($J51&lt;=IF($B$2="mil",1,0.0254)*1000,"Pass",IF($B$2="mil",1,0.0254)*1000-$J51)</f>
        <v>#REF!</v>
      </c>
      <c r="AK51" s="473" t="e">
        <f ca="1">CheckLength2(1200,J51,K51,0)</f>
        <v>#NAME?</v>
      </c>
      <c r="AL51" s="473" t="e">
        <f>IF(M51&lt;=IF($B$2="mil",1,0.0254)*2000,"Pass",IF($B$2="mil",1,0.0254)*2000-M51)</f>
        <v>#REF!</v>
      </c>
      <c r="AM51" s="473" t="e">
        <f>IF(N51&lt;=IF($B$2="mil",1,0.0254)*1000,"Pass",IF($B$2="mil",1,0.0254)*1000-N51)</f>
        <v>#REF!</v>
      </c>
      <c r="AN51" s="473" t="e">
        <f>IF(MAX(N51,P51)-MIN(N51,P51)&lt;=IF($B$2="mil",1,0.0254)*50,"Pass",MAX(N51,P51)-MIN(N51,P51)-IF($B$2="mil",1,0.0254)*50)</f>
        <v>#REF!</v>
      </c>
      <c r="AO51" s="473" t="e">
        <f>IF($Q51&lt;=IF($B$2="mil",1,0.0254)*1000,"Pass",IF($B$2="mil",1,0.0254)*1000-$Q51)</f>
        <v>#REF!</v>
      </c>
      <c r="AP51" s="473" t="e">
        <f t="shared" si="30"/>
        <v>#REF!</v>
      </c>
      <c r="AQ51" s="473" t="e">
        <f>IF($R51&lt;=IF($B$2="mil",1,0.0254)*750,"Pass",IF($B$2="mil",1,0.0254)*750-$R51)</f>
        <v>#REF!</v>
      </c>
      <c r="AR51" s="473" t="e">
        <f>IF($S51&lt;=IF($B$2="mil",1,0.0254)*750,"Pass",IF($B$2="mil",1,0.0254)*750-$S51)</f>
        <v>#REF!</v>
      </c>
      <c r="AS51" s="473" t="e">
        <f t="shared" ca="1" si="38"/>
        <v>#NAME?</v>
      </c>
      <c r="AT51" s="473" t="e">
        <f t="shared" ca="1" si="38"/>
        <v>#NAME?</v>
      </c>
      <c r="AU51" s="473" t="e">
        <f>IF(AND($V51&gt;=IF($B$2="mil",1,0.0254)*500, $V51&lt;=IF($B$2="mil",1,0.0254)*6500),"Pass",IF($B$2="mil",1,0.0254)*6500-$V51)</f>
        <v>#REF!</v>
      </c>
      <c r="AV51" s="473" t="e">
        <f>IF(AND($W51&gt;=IF($B$2="mil",1,0.0254)*500, $W51&lt;=IF($B$2="mil",1,0.0254)*7000),"Pass",IF($B$2="mil",1,0.0254)*7000-$W51)</f>
        <v>#REF!</v>
      </c>
      <c r="AW51" s="473" t="e">
        <f>IF(AND($AB51&gt;=IF($B$2="mil",1,0.0254)*500, $AB51&lt;=IF($B$2="mil",1,0.0254)*6500),"Pass",IF($B$2="mil",1,0.0254)*6500-$AB51)</f>
        <v>#REF!</v>
      </c>
      <c r="AX51" s="474" t="e">
        <f>IF(AND($AC51&gt;=IF($B$2="mil",1,0.0254)*500, $AC51&lt;=IF($B$2="mil",1,0.0254)*7000),"Pass",IF($B$2="mil",1,0.0254)*7000-$AC51)</f>
        <v>#REF!</v>
      </c>
      <c r="AY51" s="4" t="e">
        <f t="shared" ca="1" si="37"/>
        <v>#REF!</v>
      </c>
    </row>
    <row r="52" spans="1:52" s="4" customFormat="1" ht="11.25" x14ac:dyDescent="0.2">
      <c r="A52" s="180" t="s">
        <v>279</v>
      </c>
      <c r="B52" s="180"/>
      <c r="C52" s="566"/>
      <c r="D52" s="155"/>
      <c r="E52" s="134"/>
      <c r="F52" s="181"/>
      <c r="G52" s="298"/>
      <c r="H52" s="299"/>
      <c r="I52" s="299"/>
      <c r="J52" s="298"/>
      <c r="K52" s="298"/>
      <c r="L52" s="298"/>
      <c r="M52" s="298"/>
      <c r="N52" s="426"/>
      <c r="O52" s="245"/>
      <c r="P52" s="298"/>
      <c r="Q52" s="298"/>
      <c r="R52" s="298"/>
      <c r="S52" s="298"/>
      <c r="T52" s="388"/>
      <c r="U52" s="388"/>
      <c r="V52" s="182"/>
      <c r="W52" s="182"/>
      <c r="X52" s="182"/>
      <c r="Y52" s="515"/>
      <c r="Z52" s="385"/>
      <c r="AA52" s="385"/>
      <c r="AB52" s="385"/>
      <c r="AC52" s="385"/>
      <c r="AD52" s="385"/>
      <c r="AE52" s="385"/>
      <c r="AF52" s="385"/>
      <c r="AG52" s="385"/>
      <c r="AH52" s="385"/>
      <c r="AI52" s="493"/>
      <c r="AJ52" s="385"/>
      <c r="AK52" s="385"/>
      <c r="AL52" s="385"/>
      <c r="AM52" s="385"/>
      <c r="AN52" s="385"/>
      <c r="AO52" s="385"/>
      <c r="AP52" s="385"/>
      <c r="AQ52" s="385"/>
      <c r="AR52" s="385"/>
      <c r="AS52" s="385"/>
      <c r="AT52" s="385"/>
      <c r="AU52" s="385"/>
      <c r="AV52" s="385"/>
      <c r="AW52" s="385"/>
      <c r="AX52" s="494"/>
    </row>
    <row r="53" spans="1:52" s="4" customFormat="1" x14ac:dyDescent="0.2">
      <c r="A53" s="161" t="s">
        <v>106</v>
      </c>
      <c r="B53" s="433" t="s">
        <v>476</v>
      </c>
      <c r="C53" s="562">
        <v>462.71653543307087</v>
      </c>
      <c r="D53" s="164"/>
      <c r="E53" s="199">
        <v>29.7</v>
      </c>
      <c r="F53" s="199">
        <v>0</v>
      </c>
      <c r="G53" s="270">
        <v>2250</v>
      </c>
      <c r="H53" s="295"/>
      <c r="I53" s="295"/>
      <c r="J53" s="294">
        <v>0</v>
      </c>
      <c r="K53" s="297">
        <v>32.5</v>
      </c>
      <c r="L53" s="296"/>
      <c r="M53" s="297">
        <v>700</v>
      </c>
      <c r="N53" s="363">
        <v>327.79</v>
      </c>
      <c r="O53" s="167"/>
      <c r="P53" s="270">
        <v>327.79</v>
      </c>
      <c r="Q53" s="270">
        <v>564.66</v>
      </c>
      <c r="R53" s="297">
        <v>28.02</v>
      </c>
      <c r="S53" s="297">
        <v>28.02</v>
      </c>
      <c r="T53" s="364">
        <v>50</v>
      </c>
      <c r="U53" s="364">
        <v>50</v>
      </c>
      <c r="V53" s="490">
        <f>SUM($E53:$G53,$M53,$Q53:$R53,$N53,$T53)</f>
        <v>3950.1699999999996</v>
      </c>
      <c r="W53" s="469" t="e">
        <f t="shared" si="22"/>
        <v>#REF!</v>
      </c>
      <c r="X53" s="469" t="e">
        <f>$Y$32 + IF($B$2="mil",1,0.0254)*DDR2Specs!$E$9</f>
        <v>#REF!</v>
      </c>
      <c r="Y53" s="492" t="e">
        <f>$X$32 + IF($B$2="mil",1,0.0254)*DDR2Specs!$F$9</f>
        <v>#REF!</v>
      </c>
      <c r="Z53" s="491" t="e">
        <f>IF($W53&lt;$X53,$X53-$W53,"Pass")</f>
        <v>#REF!</v>
      </c>
      <c r="AA53" s="492" t="e">
        <f>IF($W53&gt;$Y53,$W53-$Y53,"Pass")</f>
        <v>#REF!</v>
      </c>
      <c r="AB53" s="490">
        <f t="shared" si="23"/>
        <v>3950.1699999999996</v>
      </c>
      <c r="AC53" s="469" t="e">
        <f>$AB53+IF($B$2="mil",1,0.0254)*$C53</f>
        <v>#REF!</v>
      </c>
      <c r="AD53" s="469" t="e">
        <f>$AE$32 + IF($B$2="mil",1,0.0254)*DDR2Specs!$E$9</f>
        <v>#REF!</v>
      </c>
      <c r="AE53" s="469" t="e">
        <f>$AD$32 + IF($B$2="mil",1,0.0254)*DDR2Specs!$F$9</f>
        <v>#REF!</v>
      </c>
      <c r="AF53" s="491" t="e">
        <f>IF($AC53&lt;$AD53,$AD53-$AC53,"Pass")</f>
        <v>#REF!</v>
      </c>
      <c r="AG53" s="492" t="e">
        <f>IF($AC53&gt;$AE53,$AC53-$AE53,"Pass")</f>
        <v>#REF!</v>
      </c>
      <c r="AH53" s="472" t="e">
        <f>IF($E53&lt;=IF($B$2="mil",1,0.0254)*50,"Pass",IF($B$2="mil",1,0.0254)*50-$E53)</f>
        <v>#REF!</v>
      </c>
      <c r="AI53" s="473" t="e">
        <f>IF($F53&lt;=IF($B$2="mil",1,0.0254)*500,"Pass",IF($B$2="mil",1,0.0254)*500-$F53)</f>
        <v>#REF!</v>
      </c>
      <c r="AJ53" s="473" t="e">
        <f>IF($J53&lt;=IF($B$2="mil",1,0.0254)*1000,"Pass",IF($B$2="mil",1,0.0254)*1000-$J53)</f>
        <v>#REF!</v>
      </c>
      <c r="AK53" s="473" t="e">
        <f ca="1">CheckLength2(1200,J53,K53,0)</f>
        <v>#NAME?</v>
      </c>
      <c r="AL53" s="473" t="e">
        <f>IF(M53&lt;=IF($B$2="mil",1,0.0254)*2000,"Pass",IF($B$2="mil",1,0.0254)*2000-M53)</f>
        <v>#REF!</v>
      </c>
      <c r="AM53" s="473" t="e">
        <f>IF(N53&lt;=IF($B$2="mil",1,0.0254)*1000,"Pass",IF($B$2="mil",1,0.0254)*1000-N53)</f>
        <v>#REF!</v>
      </c>
      <c r="AN53" s="473" t="e">
        <f>IF(MAX(N53,P53)-MIN(N53,P53)&lt;=IF($B$2="mil",1,0.0254)*50,"Pass",MAX(N53,P53)-MIN(N53,P53)-IF($B$2="mil",1,0.0254)*50)</f>
        <v>#REF!</v>
      </c>
      <c r="AO53" s="473" t="e">
        <f>IF($Q53&lt;=IF($B$2="mil",1,0.0254)*1000,"Pass",IF($B$2="mil",1,0.0254)*1000-$Q53)</f>
        <v>#REF!</v>
      </c>
      <c r="AP53" s="473" t="e">
        <f t="shared" si="30"/>
        <v>#REF!</v>
      </c>
      <c r="AQ53" s="473" t="e">
        <f>IF($R53&lt;=IF($B$2="mil",1,0.0254)*750,"Pass",IF($B$2="mil",1,0.0254)*750-$R53)</f>
        <v>#REF!</v>
      </c>
      <c r="AR53" s="473" t="e">
        <f>IF($S53&lt;=IF($B$2="mil",1,0.0254)*750,"Pass",IF($B$2="mil",1,0.0254)*750-$S53)</f>
        <v>#REF!</v>
      </c>
      <c r="AS53" s="473" t="e">
        <f t="shared" ref="AS53:AT55" ca="1" si="39">CheckLength2(IF($B$2="mil",1,0.0254)*950,R53,T53,0)</f>
        <v>#NAME?</v>
      </c>
      <c r="AT53" s="473" t="e">
        <f t="shared" ca="1" si="39"/>
        <v>#NAME?</v>
      </c>
      <c r="AU53" s="473" t="e">
        <f>IF(AND($V53&gt;=IF($B$2="mil",1,0.0254)*500, $V53&lt;=IF($B$2="mil",1,0.0254)*6500),"Pass",IF($B$2="mil",1,0.0254)*6500-$V53)</f>
        <v>#REF!</v>
      </c>
      <c r="AV53" s="473" t="e">
        <f>IF(AND($W53&gt;=IF($B$2="mil",1,0.0254)*500, $W53&lt;=IF($B$2="mil",1,0.0254)*7000),"Pass",IF($B$2="mil",1,0.0254)*7000-$W53)</f>
        <v>#REF!</v>
      </c>
      <c r="AW53" s="473" t="e">
        <f>IF(AND($AB53&gt;=IF($B$2="mil",1,0.0254)*500, $AB53&lt;=IF($B$2="mil",1,0.0254)*6500),"Pass",IF($B$2="mil",1,0.0254)*6500-$AB53)</f>
        <v>#REF!</v>
      </c>
      <c r="AX53" s="474" t="e">
        <f>IF(AND($AC53&gt;=IF($B$2="mil",1,0.0254)*500, $AC53&lt;=IF($B$2="mil",1,0.0254)*7000),"Pass",IF($B$2="mil",1,0.0254)*7000-$AC53)</f>
        <v>#REF!</v>
      </c>
      <c r="AY53" s="4" t="e">
        <f t="shared" ca="1" si="37"/>
        <v>#REF!</v>
      </c>
    </row>
    <row r="54" spans="1:52" s="4" customFormat="1" x14ac:dyDescent="0.2">
      <c r="A54" s="214" t="s">
        <v>107</v>
      </c>
      <c r="B54" s="433" t="s">
        <v>492</v>
      </c>
      <c r="C54" s="562">
        <v>452.16535433070862</v>
      </c>
      <c r="D54" s="164"/>
      <c r="E54" s="199">
        <v>29.7</v>
      </c>
      <c r="F54" s="286">
        <v>0</v>
      </c>
      <c r="G54" s="270">
        <v>2300</v>
      </c>
      <c r="H54" s="295"/>
      <c r="I54" s="295"/>
      <c r="J54" s="294">
        <v>0</v>
      </c>
      <c r="K54" s="297">
        <v>40</v>
      </c>
      <c r="L54" s="296"/>
      <c r="M54" s="297">
        <v>700</v>
      </c>
      <c r="N54" s="363">
        <v>251.98</v>
      </c>
      <c r="O54" s="167"/>
      <c r="P54" s="270">
        <v>251.98</v>
      </c>
      <c r="Q54" s="270">
        <v>578.77</v>
      </c>
      <c r="R54" s="297">
        <v>51.88</v>
      </c>
      <c r="S54" s="297">
        <v>51.88</v>
      </c>
      <c r="T54" s="364">
        <v>50</v>
      </c>
      <c r="U54" s="364">
        <v>50</v>
      </c>
      <c r="V54" s="490">
        <f>SUM($E54:$G54,$M54,$Q54:$R54,$N54,$T54)</f>
        <v>3962.33</v>
      </c>
      <c r="W54" s="469" t="e">
        <f t="shared" si="22"/>
        <v>#REF!</v>
      </c>
      <c r="X54" s="469" t="e">
        <f>$Y$32 + IF($B$2="mil",1,0.0254)*DDR2Specs!$E$9</f>
        <v>#REF!</v>
      </c>
      <c r="Y54" s="492" t="e">
        <f>$X$32 + IF($B$2="mil",1,0.0254)*DDR2Specs!$F$9</f>
        <v>#REF!</v>
      </c>
      <c r="Z54" s="491" t="e">
        <f>IF($W54&lt;$X54,$X54-$W54,"Pass")</f>
        <v>#REF!</v>
      </c>
      <c r="AA54" s="492" t="e">
        <f>IF($W54&gt;$Y54,$W54-$Y54,"Pass")</f>
        <v>#REF!</v>
      </c>
      <c r="AB54" s="490">
        <f t="shared" si="23"/>
        <v>3962.33</v>
      </c>
      <c r="AC54" s="469" t="e">
        <f>$AB54+IF($B$2="mil",1,0.0254)*$C54</f>
        <v>#REF!</v>
      </c>
      <c r="AD54" s="469" t="e">
        <f>$AE$32 + IF($B$2="mil",1,0.0254)*DDR2Specs!$E$9</f>
        <v>#REF!</v>
      </c>
      <c r="AE54" s="469" t="e">
        <f>$AD$32 + IF($B$2="mil",1,0.0254)*DDR2Specs!$F$9</f>
        <v>#REF!</v>
      </c>
      <c r="AF54" s="491" t="e">
        <f>IF($AC54&lt;$AD54,$AD54-$AC54,"Pass")</f>
        <v>#REF!</v>
      </c>
      <c r="AG54" s="492" t="e">
        <f>IF($AC54&gt;$AE54,$AC54-$AE54,"Pass")</f>
        <v>#REF!</v>
      </c>
      <c r="AH54" s="472" t="e">
        <f>IF($E54&lt;=IF($B$2="mil",1,0.0254)*50,"Pass",IF($B$2="mil",1,0.0254)*50-$E54)</f>
        <v>#REF!</v>
      </c>
      <c r="AI54" s="473" t="e">
        <f>IF($F54&lt;=IF($B$2="mil",1,0.0254)*500,"Pass",IF($B$2="mil",1,0.0254)*500-$F54)</f>
        <v>#REF!</v>
      </c>
      <c r="AJ54" s="473" t="e">
        <f>IF($J54&lt;=IF($B$2="mil",1,0.0254)*1000,"Pass",IF($B$2="mil",1,0.0254)*1000-$J54)</f>
        <v>#REF!</v>
      </c>
      <c r="AK54" s="473" t="e">
        <f ca="1">CheckLength2(1200,J54,K54,0)</f>
        <v>#NAME?</v>
      </c>
      <c r="AL54" s="473" t="e">
        <f>IF(M54&lt;=IF($B$2="mil",1,0.0254)*2000,"Pass",IF($B$2="mil",1,0.0254)*2000-M54)</f>
        <v>#REF!</v>
      </c>
      <c r="AM54" s="473" t="e">
        <f>IF(N54&lt;=IF($B$2="mil",1,0.0254)*1000,"Pass",IF($B$2="mil",1,0.0254)*1000-N54)</f>
        <v>#REF!</v>
      </c>
      <c r="AN54" s="473" t="e">
        <f>IF(MAX(N54,P54)-MIN(N54,P54)&lt;=IF($B$2="mil",1,0.0254)*50,"Pass",MAX(N54,P54)-MIN(N54,P54)-IF($B$2="mil",1,0.0254)*50)</f>
        <v>#REF!</v>
      </c>
      <c r="AO54" s="473" t="e">
        <f>IF($Q54&lt;=IF($B$2="mil",1,0.0254)*1000,"Pass",IF($B$2="mil",1,0.0254)*1000-$Q54)</f>
        <v>#REF!</v>
      </c>
      <c r="AP54" s="473" t="e">
        <f t="shared" si="30"/>
        <v>#REF!</v>
      </c>
      <c r="AQ54" s="473" t="e">
        <f>IF($R54&lt;=IF($B$2="mil",1,0.0254)*750,"Pass",IF($B$2="mil",1,0.0254)*750-$R54)</f>
        <v>#REF!</v>
      </c>
      <c r="AR54" s="473" t="e">
        <f>IF($S54&lt;=IF($B$2="mil",1,0.0254)*750,"Pass",IF($B$2="mil",1,0.0254)*750-$S54)</f>
        <v>#REF!</v>
      </c>
      <c r="AS54" s="473" t="e">
        <f t="shared" ca="1" si="39"/>
        <v>#NAME?</v>
      </c>
      <c r="AT54" s="473" t="e">
        <f t="shared" ca="1" si="39"/>
        <v>#NAME?</v>
      </c>
      <c r="AU54" s="473" t="e">
        <f>IF(AND($V54&gt;=IF($B$2="mil",1,0.0254)*500, $V54&lt;=IF($B$2="mil",1,0.0254)*6500),"Pass",IF($B$2="mil",1,0.0254)*6500-$V54)</f>
        <v>#REF!</v>
      </c>
      <c r="AV54" s="473" t="e">
        <f>IF(AND($W54&gt;=IF($B$2="mil",1,0.0254)*500, $W54&lt;=IF($B$2="mil",1,0.0254)*7000),"Pass",IF($B$2="mil",1,0.0254)*7000-$W54)</f>
        <v>#REF!</v>
      </c>
      <c r="AW54" s="473" t="e">
        <f>IF(AND($AB54&gt;=IF($B$2="mil",1,0.0254)*500, $AB54&lt;=IF($B$2="mil",1,0.0254)*6500),"Pass",IF($B$2="mil",1,0.0254)*6500-$AB54)</f>
        <v>#REF!</v>
      </c>
      <c r="AX54" s="474" t="e">
        <f>IF(AND($AC54&gt;=IF($B$2="mil",1,0.0254)*500, $AC54&lt;=IF($B$2="mil",1,0.0254)*7000),"Pass",IF($B$2="mil",1,0.0254)*7000-$AC54)</f>
        <v>#REF!</v>
      </c>
      <c r="AY54" s="4" t="e">
        <f t="shared" ca="1" si="37"/>
        <v>#REF!</v>
      </c>
    </row>
    <row r="55" spans="1:52" s="4" customFormat="1" x14ac:dyDescent="0.2">
      <c r="A55" s="214" t="s">
        <v>108</v>
      </c>
      <c r="B55" s="433" t="s">
        <v>477</v>
      </c>
      <c r="C55" s="562">
        <v>581.1811023622048</v>
      </c>
      <c r="D55" s="178"/>
      <c r="E55" s="199">
        <v>29.7</v>
      </c>
      <c r="F55" s="286">
        <v>0</v>
      </c>
      <c r="G55" s="270">
        <v>2163.89</v>
      </c>
      <c r="H55" s="295"/>
      <c r="I55" s="295"/>
      <c r="J55" s="294">
        <v>0</v>
      </c>
      <c r="K55" s="297">
        <v>40</v>
      </c>
      <c r="L55" s="296"/>
      <c r="M55" s="297">
        <v>700</v>
      </c>
      <c r="N55" s="363">
        <v>321.8</v>
      </c>
      <c r="O55" s="167"/>
      <c r="P55" s="270">
        <v>321.8</v>
      </c>
      <c r="Q55" s="270">
        <v>574.72</v>
      </c>
      <c r="R55" s="297">
        <v>30.98</v>
      </c>
      <c r="S55" s="297">
        <v>30.98</v>
      </c>
      <c r="T55" s="364">
        <v>50</v>
      </c>
      <c r="U55" s="364">
        <v>50</v>
      </c>
      <c r="V55" s="490">
        <f>SUM($E55:$G55,$M55,$Q55:$R55,$N55,$T55)</f>
        <v>3871.0899999999997</v>
      </c>
      <c r="W55" s="469" t="e">
        <f t="shared" si="22"/>
        <v>#REF!</v>
      </c>
      <c r="X55" s="469" t="e">
        <f>$Y$32 + IF($B$2="mil",1,0.0254)*DDR2Specs!$E$9</f>
        <v>#REF!</v>
      </c>
      <c r="Y55" s="492" t="e">
        <f>$X$32 + IF($B$2="mil",1,0.0254)*DDR2Specs!$F$9</f>
        <v>#REF!</v>
      </c>
      <c r="Z55" s="491" t="e">
        <f>IF($W55&lt;$X55,$X55-$W55,"Pass")</f>
        <v>#REF!</v>
      </c>
      <c r="AA55" s="492" t="e">
        <f>IF($W55&gt;$Y55,$W55-$Y55,"Pass")</f>
        <v>#REF!</v>
      </c>
      <c r="AB55" s="490">
        <f t="shared" si="23"/>
        <v>3871.0899999999997</v>
      </c>
      <c r="AC55" s="469" t="e">
        <f>$AB55+IF($B$2="mil",1,0.0254)*$C55</f>
        <v>#REF!</v>
      </c>
      <c r="AD55" s="469" t="e">
        <f>$AE$32 + IF($B$2="mil",1,0.0254)*DDR2Specs!$E$9</f>
        <v>#REF!</v>
      </c>
      <c r="AE55" s="469" t="e">
        <f>$AD$32 + IF($B$2="mil",1,0.0254)*DDR2Specs!$F$9</f>
        <v>#REF!</v>
      </c>
      <c r="AF55" s="491" t="e">
        <f>IF($AC55&lt;$AD55,$AD55-$AC55,"Pass")</f>
        <v>#REF!</v>
      </c>
      <c r="AG55" s="492" t="e">
        <f>IF($AC55&gt;$AE55,$AC55-$AE55,"Pass")</f>
        <v>#REF!</v>
      </c>
      <c r="AH55" s="472" t="e">
        <f>IF($E55&lt;=IF($B$2="mil",1,0.0254)*50,"Pass",IF($B$2="mil",1,0.0254)*50-$E55)</f>
        <v>#REF!</v>
      </c>
      <c r="AI55" s="473" t="e">
        <f>IF($F55&lt;=IF($B$2="mil",1,0.0254)*500,"Pass",IF($B$2="mil",1,0.0254)*500-$F55)</f>
        <v>#REF!</v>
      </c>
      <c r="AJ55" s="473" t="e">
        <f>IF($J55&lt;=IF($B$2="mil",1,0.0254)*1000,"Pass",IF($B$2="mil",1,0.0254)*1000-$J55)</f>
        <v>#REF!</v>
      </c>
      <c r="AK55" s="473" t="e">
        <f ca="1">CheckLength2(1200,J55,K55,0)</f>
        <v>#NAME?</v>
      </c>
      <c r="AL55" s="473" t="e">
        <f>IF(M55&lt;=IF($B$2="mil",1,0.0254)*2000,"Pass",IF($B$2="mil",1,0.0254)*2000-M55)</f>
        <v>#REF!</v>
      </c>
      <c r="AM55" s="473" t="e">
        <f>IF(N55&lt;=IF($B$2="mil",1,0.0254)*1000,"Pass",IF($B$2="mil",1,0.0254)*1000-N55)</f>
        <v>#REF!</v>
      </c>
      <c r="AN55" s="473" t="e">
        <f>IF(MAX(N55,P55)-MIN(N55,P55)&lt;=IF($B$2="mil",1,0.0254)*50,"Pass",MAX(N55,P55)-MIN(N55,P55)-IF($B$2="mil",1,0.0254)*50)</f>
        <v>#REF!</v>
      </c>
      <c r="AO55" s="473" t="e">
        <f>IF($Q55&lt;=IF($B$2="mil",1,0.0254)*1000,"Pass",IF($B$2="mil",1,0.0254)*1000-$Q55)</f>
        <v>#REF!</v>
      </c>
      <c r="AP55" s="473" t="e">
        <f t="shared" si="30"/>
        <v>#REF!</v>
      </c>
      <c r="AQ55" s="473" t="e">
        <f>IF($R55&lt;=IF($B$2="mil",1,0.0254)*750,"Pass",IF($B$2="mil",1,0.0254)*750-$R55)</f>
        <v>#REF!</v>
      </c>
      <c r="AR55" s="473" t="e">
        <f>IF($S55&lt;=IF($B$2="mil",1,0.0254)*750,"Pass",IF($B$2="mil",1,0.0254)*750-$S55)</f>
        <v>#REF!</v>
      </c>
      <c r="AS55" s="473" t="e">
        <f t="shared" ca="1" si="39"/>
        <v>#NAME?</v>
      </c>
      <c r="AT55" s="473" t="e">
        <f t="shared" ca="1" si="39"/>
        <v>#NAME?</v>
      </c>
      <c r="AU55" s="473" t="e">
        <f>IF(AND($V55&gt;=IF($B$2="mil",1,0.0254)*500, $V55&lt;=IF($B$2="mil",1,0.0254)*6500),"Pass",IF($B$2="mil",1,0.0254)*6500-$V55)</f>
        <v>#REF!</v>
      </c>
      <c r="AV55" s="473" t="e">
        <f>IF(AND($W55&gt;=IF($B$2="mil",1,0.0254)*500, $W55&lt;=IF($B$2="mil",1,0.0254)*7000),"Pass",IF($B$2="mil",1,0.0254)*7000-$W55)</f>
        <v>#REF!</v>
      </c>
      <c r="AW55" s="473" t="e">
        <f>IF(AND($AB55&gt;=IF($B$2="mil",1,0.0254)*500, $AB55&lt;=IF($B$2="mil",1,0.0254)*6500),"Pass",IF($B$2="mil",1,0.0254)*6500-$AB55)</f>
        <v>#REF!</v>
      </c>
      <c r="AX55" s="474" t="e">
        <f>IF(AND($AC55&gt;=IF($B$2="mil",1,0.0254)*500, $AC55&lt;=IF($B$2="mil",1,0.0254)*7000),"Pass",IF($B$2="mil",1,0.0254)*7000-$AC55)</f>
        <v>#REF!</v>
      </c>
      <c r="AY55" s="4" t="e">
        <f t="shared" ca="1" si="37"/>
        <v>#REF!</v>
      </c>
    </row>
    <row r="56" spans="1:52" ht="63" customHeight="1" x14ac:dyDescent="0.2">
      <c r="O56" s="2"/>
      <c r="P56" s="289" t="s">
        <v>494</v>
      </c>
      <c r="Q56" s="123" t="e">
        <f>"Trace L7-2 ["&amp;$B$2&amp;"]"</f>
        <v>#REF!</v>
      </c>
      <c r="R56" s="290" t="s">
        <v>437</v>
      </c>
      <c r="S56" s="290" t="s">
        <v>438</v>
      </c>
      <c r="T56" s="290" t="s">
        <v>454</v>
      </c>
      <c r="U56" s="290" t="s">
        <v>455</v>
      </c>
      <c r="V56" s="495" t="e">
        <f>"Total MB Length to U2 (L0+L1+L2+L5+L6-1+L7-2+L8-3+L9-3) ["&amp;$B$2&amp;"]"</f>
        <v>#REF!</v>
      </c>
      <c r="W56" s="495" t="e">
        <f>"Total Pad to Pin U2 (P1+L0+L1+L2+L5+L6-1+L7-3+L8-3+L9-3) ["&amp;$B$2&amp;"]"</f>
        <v>#REF!</v>
      </c>
      <c r="X56" s="496" t="e">
        <f>"Target Min Length to U2
["&amp;$B$2&amp;"]"</f>
        <v>#REF!</v>
      </c>
      <c r="Y56" s="497" t="e">
        <f>"Target Max Length to U2 
["&amp;$B$2&amp;"]"</f>
        <v>#REF!</v>
      </c>
      <c r="Z56" s="498" t="e">
        <f>"Routed Too Short to U2 [" &amp;$B$2&amp;"]"</f>
        <v>#REF!</v>
      </c>
      <c r="AA56" s="496" t="e">
        <f>"Routed Too Long to U2 [" &amp;$B$2&amp;"]"</f>
        <v>#REF!</v>
      </c>
      <c r="AB56" s="495" t="e">
        <f>"Total MB Length to U6 (L0+L1+L2+L5+L6-1+L7-2+L8-4+L9-4) ["&amp;$B$2&amp;"]"</f>
        <v>#REF!</v>
      </c>
      <c r="AC56" s="495" t="e">
        <f>"Total Pad to Pin U6 (P1+L0+L1+L2+L5+L6-1+L7-2+L8-4+L9-4) ["&amp;$B$2&amp;"]"</f>
        <v>#REF!</v>
      </c>
      <c r="AD56" s="496" t="e">
        <f>"Target Min Length to U6
["&amp;$B$2&amp;"]"</f>
        <v>#REF!</v>
      </c>
      <c r="AE56" s="497" t="e">
        <f>"Target Max Length to U6 
["&amp;$B$2&amp;"]"</f>
        <v>#REF!</v>
      </c>
      <c r="AF56" s="498" t="e">
        <f>"Routed Too Short to U6 [" &amp;$B$2&amp;"]"</f>
        <v>#REF!</v>
      </c>
      <c r="AG56" s="496" t="e">
        <f>"Routed Too Long to U6 [" &amp;$B$2&amp;"]"</f>
        <v>#REF!</v>
      </c>
      <c r="AH56" s="2"/>
      <c r="AI56" s="2"/>
      <c r="AJ56" s="2"/>
      <c r="AK56" s="2"/>
      <c r="AL56" s="2"/>
      <c r="AM56" s="2"/>
      <c r="AN56" s="499" t="s">
        <v>494</v>
      </c>
      <c r="AO56" s="497" t="e">
        <f>"L7-2 Length Test (&lt;=" &amp; IF($B$2="mil",1,0.0254)*1000&amp;$B$2&amp;")"</f>
        <v>#REF!</v>
      </c>
      <c r="AQ56" s="500" t="e">
        <f>"L8-3 Length Test (&lt;=" &amp; IF($B$2="mil",1,0.0254)*750&amp;$B$2&amp;")"</f>
        <v>#REF!</v>
      </c>
      <c r="AR56" s="500" t="e">
        <f>"L8-4 Length Test (&lt;=" &amp; IF($B$2="mil",1,0.0254)*750&amp;$B$2&amp;")"</f>
        <v>#REF!</v>
      </c>
      <c r="AS56" s="500" t="e">
        <f>"L9-3 Length Test (&lt;=" &amp; IF($B$2="mil",1,0.0254)*200&amp;$B$2&amp;") or (L8-3+L9-3&lt;= "&amp;IF($B$2="mil",1,0.0254)*950&amp;$B$2&amp;")"</f>
        <v>#REF!</v>
      </c>
      <c r="AT56" s="500" t="e">
        <f>"L9-4 Length Test (&lt;=" &amp; IF($B$2="mil",1,0.0254)*200&amp;$B$2&amp;") or (L8-4+L9-4&lt;= "&amp;IF($B$2="mil",1,0.0254)*950&amp;$B$2&amp;")"</f>
        <v>#REF!</v>
      </c>
      <c r="AU56" s="497" t="e">
        <f>"Total Length to U2 (L0+L1+L2+L5+L6-1+L7-2+L8-3+L9-3)Test
 ("&amp;IF($B$2="mil",1,0.0254)*500&amp;"-"&amp;IF($B$2="mil",1,0.0254)*6500&amp;IF($B$2="mil","mil","mm")&amp;")"</f>
        <v>#REF!</v>
      </c>
      <c r="AV56" s="497" t="e">
        <f>"Total Length to U2 (P1+L0+L1+L2+L5+L6-1+L7-2+L8-3+L9-3) Test
 (&lt;="&amp;IF($B$2="mil",1,25.4)*7000&amp;IF($B$2="mil","mil","mm")&amp;")"</f>
        <v>#REF!</v>
      </c>
      <c r="AW56" s="497" t="e">
        <f>"Total Length to U6 (L0+L1+L2+L5+L6-1+L7-2+L8-4+L9-4)Test
 ("&amp;IF($B$2="mil",1,0.0254)*500&amp;"-"&amp;IF($B$2="mil",1,0.0254)*6500&amp;IF($B$2="mil","mil","mm")&amp;")"</f>
        <v>#REF!</v>
      </c>
      <c r="AX56" s="497" t="e">
        <f>"Total Length to U6 (P1+L0+L1+L2+L5+L6-1+L7-2+L8-4+L9-4) Test
 (&lt;="&amp;IF($B$2="mil",1,25.4)*7000&amp;IF($B$2="mil","mil","mm")&amp;")"</f>
        <v>#REF!</v>
      </c>
      <c r="AY56" s="2"/>
      <c r="AZ56" s="2"/>
    </row>
    <row r="57" spans="1:52" x14ac:dyDescent="0.2">
      <c r="O57" s="2"/>
      <c r="P57" s="134" t="s">
        <v>258</v>
      </c>
      <c r="Q57" s="135"/>
      <c r="R57" s="135"/>
      <c r="S57" s="135"/>
      <c r="T57" s="135"/>
      <c r="U57" s="135"/>
      <c r="V57" s="135"/>
      <c r="W57" s="135"/>
      <c r="X57" s="135"/>
      <c r="Y57" s="385"/>
      <c r="Z57" s="135"/>
      <c r="AA57" s="135"/>
      <c r="AB57" s="135"/>
      <c r="AC57" s="135"/>
      <c r="AD57" s="135"/>
      <c r="AE57" s="135"/>
      <c r="AF57" s="135"/>
      <c r="AG57" s="135"/>
      <c r="AH57" s="2"/>
      <c r="AI57" s="2"/>
      <c r="AJ57" s="2"/>
      <c r="AK57" s="2"/>
      <c r="AL57" s="2"/>
      <c r="AM57" s="2"/>
      <c r="AN57" s="134" t="s">
        <v>258</v>
      </c>
      <c r="AO57" s="501"/>
      <c r="AQ57" s="135"/>
      <c r="AR57" s="135"/>
      <c r="AS57" s="135"/>
      <c r="AT57" s="135"/>
      <c r="AU57" s="135"/>
      <c r="AV57" s="135"/>
      <c r="AW57" s="135"/>
      <c r="AX57" s="501"/>
      <c r="AY57" s="2"/>
      <c r="AZ57" s="2"/>
    </row>
    <row r="58" spans="1:52" x14ac:dyDescent="0.2">
      <c r="O58" s="2"/>
      <c r="P58" s="235" t="s">
        <v>262</v>
      </c>
      <c r="Q58" s="143"/>
      <c r="R58" s="143"/>
      <c r="S58" s="143"/>
      <c r="T58" s="143"/>
      <c r="U58" s="143"/>
      <c r="V58" s="143"/>
      <c r="W58" s="502" t="s">
        <v>275</v>
      </c>
      <c r="X58" s="487" t="e">
        <f>MIN('DDR2 Clocks - 4L'!$O$9:$O$10)</f>
        <v>#REF!</v>
      </c>
      <c r="Y58" s="484" t="e">
        <f>MAX('DDR2 Clocks - 4L'!$O$9:$O$10)</f>
        <v>#REF!</v>
      </c>
      <c r="Z58" s="487"/>
      <c r="AA58" s="145"/>
      <c r="AB58" s="143"/>
      <c r="AC58" s="502" t="s">
        <v>333</v>
      </c>
      <c r="AD58" s="487" t="e">
        <f>MIN('DDR2 Clocks - 4L'!$O$11:$O$12)</f>
        <v>#REF!</v>
      </c>
      <c r="AE58" s="486" t="e">
        <f>MAX('DDR2 Clocks - 4L'!$O$11:$O$12)</f>
        <v>#REF!</v>
      </c>
      <c r="AF58" s="487"/>
      <c r="AG58" s="145"/>
      <c r="AH58" s="2"/>
      <c r="AI58" s="2"/>
      <c r="AJ58" s="2"/>
      <c r="AK58" s="2"/>
      <c r="AL58" s="2"/>
      <c r="AM58" s="2"/>
      <c r="AN58" s="140" t="s">
        <v>262</v>
      </c>
      <c r="AO58" s="484"/>
      <c r="AQ58" s="483"/>
      <c r="AR58" s="483"/>
      <c r="AS58" s="483"/>
      <c r="AT58" s="483"/>
      <c r="AU58" s="483"/>
      <c r="AV58" s="483"/>
      <c r="AW58" s="483"/>
      <c r="AX58" s="484"/>
      <c r="AY58" s="2"/>
      <c r="AZ58" s="2"/>
    </row>
    <row r="59" spans="1:52" x14ac:dyDescent="0.2">
      <c r="O59" s="2"/>
      <c r="P59" s="180" t="s">
        <v>277</v>
      </c>
      <c r="Q59" s="157"/>
      <c r="R59" s="157"/>
      <c r="S59" s="157"/>
      <c r="T59" s="157"/>
      <c r="U59" s="157"/>
      <c r="V59" s="157"/>
      <c r="W59" s="157"/>
      <c r="X59" s="155"/>
      <c r="Y59" s="514"/>
      <c r="Z59" s="476"/>
      <c r="AA59" s="155"/>
      <c r="AB59" s="157"/>
      <c r="AC59" s="157"/>
      <c r="AD59" s="155"/>
      <c r="AE59" s="476"/>
      <c r="AF59" s="476"/>
      <c r="AG59" s="155"/>
      <c r="AH59" s="2"/>
      <c r="AI59" s="2"/>
      <c r="AJ59" s="2"/>
      <c r="AK59" s="2"/>
      <c r="AL59" s="2"/>
      <c r="AM59" s="2"/>
      <c r="AN59" s="134" t="s">
        <v>277</v>
      </c>
      <c r="AO59" s="478"/>
      <c r="AQ59" s="155"/>
      <c r="AR59" s="155"/>
      <c r="AS59" s="155"/>
      <c r="AT59" s="155"/>
      <c r="AU59" s="155"/>
      <c r="AV59" s="155"/>
      <c r="AW59" s="155"/>
      <c r="AX59" s="478"/>
      <c r="AY59" s="2"/>
      <c r="AZ59" s="2"/>
    </row>
    <row r="60" spans="1:52" x14ac:dyDescent="0.2">
      <c r="O60" s="2"/>
      <c r="P60" s="162" t="s">
        <v>244</v>
      </c>
      <c r="Q60" s="270">
        <v>565.69000000000005</v>
      </c>
      <c r="R60" s="270">
        <v>112.93</v>
      </c>
      <c r="S60" s="270">
        <v>112.93</v>
      </c>
      <c r="T60" s="364">
        <v>50</v>
      </c>
      <c r="U60" s="364">
        <v>50</v>
      </c>
      <c r="V60" s="490">
        <f>SUM($E34:$G34,$M34,$N34,$Q60:$R60,T60)</f>
        <v>4122.66</v>
      </c>
      <c r="W60" s="479" t="e">
        <f>$V60+ IF($B$2="mil",1,0.0254)*$C34</f>
        <v>#REF!</v>
      </c>
      <c r="X60" s="469" t="e">
        <f>$Y$58 + IF($B$2="mil",1,0.0254)*DDR2Specs!$E$9</f>
        <v>#REF!</v>
      </c>
      <c r="Y60" s="492" t="e">
        <f>$X$58 + IF($B$2="mil",1,0.0254)*DDR2Specs!$F$9</f>
        <v>#REF!</v>
      </c>
      <c r="Z60" s="491" t="e">
        <f t="shared" ref="Z60:Z73" si="40">IF($W60&lt;$X60,$X60-$W60,"Pass")</f>
        <v>#REF!</v>
      </c>
      <c r="AA60" s="492" t="e">
        <f t="shared" ref="AA60:AA73" si="41">IF($W60&gt;$Y60,$W60-$Y60,"Pass")</f>
        <v>#REF!</v>
      </c>
      <c r="AB60" s="490">
        <f>SUM($E34:$G34,$M34,$N34,$Q60,$S60,$U60)</f>
        <v>4122.66</v>
      </c>
      <c r="AC60" s="479" t="e">
        <f>$AB60+IF($B$2="mil",1,0.0254)*$C34</f>
        <v>#REF!</v>
      </c>
      <c r="AD60" s="469" t="e">
        <f>$AE$58 + IF($B$2="mil",1,0.0254)*DDR2Specs!$E$9</f>
        <v>#REF!</v>
      </c>
      <c r="AE60" s="469" t="e">
        <f>$AD$58 + IF($B$2="mil",1,0.0254)*DDR2Specs!$F$9</f>
        <v>#REF!</v>
      </c>
      <c r="AF60" s="491" t="e">
        <f t="shared" ref="AF60:AF73" si="42">IF($AC60&lt;$AD60,$AD60-$AC60,"Pass")</f>
        <v>#REF!</v>
      </c>
      <c r="AG60" s="492" t="e">
        <f t="shared" ref="AG60:AG73" si="43">IF($AC60&gt;$AE60,$AC60-$AE60,"Pass")</f>
        <v>#REF!</v>
      </c>
      <c r="AH60" s="2"/>
      <c r="AI60" s="2"/>
      <c r="AJ60" s="2"/>
      <c r="AK60" s="2"/>
      <c r="AL60" s="2"/>
      <c r="AM60" s="2"/>
      <c r="AN60" s="503" t="s">
        <v>244</v>
      </c>
      <c r="AO60" s="474" t="e">
        <f>IF($Q60&lt;=IF($B$2="mil",1,0.0254)*1000,"Pass",IF($B$2="mil",1,0.0254)*1000-$Q60)</f>
        <v>#REF!</v>
      </c>
      <c r="AQ60" s="473" t="e">
        <f t="shared" ref="AQ60:AQ73" si="44">IF($R60&lt;=IF($B$2="mil",1,0.0254)*750,"Pass",IF($B$2="mil",1,0.0254)*750-$R60)</f>
        <v>#REF!</v>
      </c>
      <c r="AR60" s="473" t="e">
        <f t="shared" ref="AR60:AR73" si="45">IF($S60&lt;=IF($B$2="mil",1,0.0254)*750,"Pass",IF($B$2="mil",1,0.0254)*750-$S60)</f>
        <v>#REF!</v>
      </c>
      <c r="AS60" s="473" t="e">
        <f ca="1">CheckLength2(IF($B$2="mil",1,0.0254)*950,R60,T60,0)</f>
        <v>#NAME?</v>
      </c>
      <c r="AT60" s="473" t="e">
        <f ca="1">CheckLength2(IF($B$2="mil",1,0.0254)*950,S60,U60,0)</f>
        <v>#NAME?</v>
      </c>
      <c r="AU60" s="473" t="e">
        <f>IF(AND(V60&gt;=IF($B$2="mil",1,0.0254)*500, $V60&lt;=IF($B$2="mil",1,0.0254)*6500),"Pass",IF($B$2="mil",1,0.0254)*6500-$V60)</f>
        <v>#REF!</v>
      </c>
      <c r="AV60" s="504" t="e">
        <f>IF(AND($W60&gt;=IF($B$2="mil",1,0.0254)*500, $W60&lt;=IF($B$2="mil",1,0.0254)*7000),"Pass",IF($B$2="mil",1,0.0254)*7000-$W60)</f>
        <v>#REF!</v>
      </c>
      <c r="AW60" s="473" t="e">
        <f>IF(AND($AB60&gt;=IF($B$2="mil",1,0.0254)*500, $AB60&lt;=IF($B$2="mil",1,0.0254)*6500),"Pass",IF($B$2="mil",1,0.0254)*6500-$AB60)</f>
        <v>#REF!</v>
      </c>
      <c r="AX60" s="474" t="e">
        <f>IF(AND($AC60&gt;=IF($B$2="mil",1,0.0254)*500, $AC60&lt;=IF($B$2="mil",1,0.0254)*7000),"Pass",IF($B$2="mil",1,0.0254)*7000-$AC60)</f>
        <v>#REF!</v>
      </c>
      <c r="AY60" s="4" t="e">
        <f ca="1">IF(AND(Z60="Pass",AA60="Pass",AF60="Pass",AG60="Pass",AO60="Pass",AQ60="Pass",AR60="Pass",AS60="Pass",AT60="Pass",AU60="Pass",AV60="Pass",AW60="Pass",AX60="Pass"),"Pass","Fail")</f>
        <v>#REF!</v>
      </c>
      <c r="AZ60" s="4" t="e">
        <f ca="1">IF(AND(AY60="Pass",AY61="Pass",AY62="Pass",AY63="Pass",AY64="Pass",AY65="Pass",AY65="Pass",AY66="Pass",AY67="Pass",AY68="Pass",AY69="Pass",AY70="Pass"),"Pass","Fail")</f>
        <v>#REF!</v>
      </c>
    </row>
    <row r="61" spans="1:52" x14ac:dyDescent="0.2">
      <c r="O61" s="2"/>
      <c r="P61" s="217" t="s">
        <v>87</v>
      </c>
      <c r="Q61" s="270">
        <v>587.88</v>
      </c>
      <c r="R61" s="270">
        <v>93.83</v>
      </c>
      <c r="S61" s="270">
        <v>93.83</v>
      </c>
      <c r="T61" s="364">
        <v>50</v>
      </c>
      <c r="U61" s="364">
        <v>50</v>
      </c>
      <c r="V61" s="490">
        <f t="shared" ref="V61:V80" si="46">SUM($E35:$G35,$M35,$N35,$Q61:$R61,T61)</f>
        <v>3963.32</v>
      </c>
      <c r="W61" s="479" t="e">
        <f t="shared" ref="W61:W81" si="47">$V61+ IF($B$2="mil",1,0.0254)*$C35</f>
        <v>#REF!</v>
      </c>
      <c r="X61" s="469" t="e">
        <f>$Y$58 + IF($B$2="mil",1,0.0254)*DDR2Specs!$E$9</f>
        <v>#REF!</v>
      </c>
      <c r="Y61" s="492" t="e">
        <f>$X$58 + IF($B$2="mil",1,0.0254)*DDR2Specs!$F$9</f>
        <v>#REF!</v>
      </c>
      <c r="Z61" s="491" t="e">
        <f t="shared" si="40"/>
        <v>#REF!</v>
      </c>
      <c r="AA61" s="492" t="e">
        <f t="shared" si="41"/>
        <v>#REF!</v>
      </c>
      <c r="AB61" s="490">
        <f t="shared" ref="AB61:AB81" si="48">SUM($E35:$G35,$M35,$N35,$Q61,$S61,$U61)</f>
        <v>3963.32</v>
      </c>
      <c r="AC61" s="479" t="e">
        <f t="shared" ref="AC61:AC73" si="49">$AB61+IF($B$2="mil",1,0.0254)*$C35</f>
        <v>#REF!</v>
      </c>
      <c r="AD61" s="469" t="e">
        <f>$AE$58 + IF($B$2="mil",1,0.0254)*DDR2Specs!$E$9</f>
        <v>#REF!</v>
      </c>
      <c r="AE61" s="469" t="e">
        <f>$AD$58 + IF($B$2="mil",1,0.0254)*DDR2Specs!$F$9</f>
        <v>#REF!</v>
      </c>
      <c r="AF61" s="491" t="e">
        <f t="shared" si="42"/>
        <v>#REF!</v>
      </c>
      <c r="AG61" s="492" t="e">
        <f t="shared" si="43"/>
        <v>#REF!</v>
      </c>
      <c r="AH61" s="2"/>
      <c r="AI61" s="2"/>
      <c r="AJ61" s="2"/>
      <c r="AK61" s="2"/>
      <c r="AL61" s="2"/>
      <c r="AM61" s="2"/>
      <c r="AN61" s="505" t="s">
        <v>87</v>
      </c>
      <c r="AO61" s="474" t="e">
        <f t="shared" ref="AO61:AO73" si="50">IF($Q61&lt;=IF($B$2="mil",1,0.0254)*1000,"Pass",IF($B$2="mil",1,0.0254)*1000-$Q61)</f>
        <v>#REF!</v>
      </c>
      <c r="AQ61" s="473" t="e">
        <f t="shared" si="44"/>
        <v>#REF!</v>
      </c>
      <c r="AR61" s="473" t="e">
        <f t="shared" si="45"/>
        <v>#REF!</v>
      </c>
      <c r="AS61" s="473" t="e">
        <f t="shared" ref="AS61:AS73" ca="1" si="51">CheckLength2(IF($B$2="mil",1,0.0254)*950,R61,T61,0)</f>
        <v>#NAME?</v>
      </c>
      <c r="AT61" s="473" t="e">
        <f t="shared" ref="AT61:AT73" ca="1" si="52">CheckLength2(IF($B$2="mil",1,0.0254)*950,S61,U61,0)</f>
        <v>#NAME?</v>
      </c>
      <c r="AU61" s="473" t="e">
        <f t="shared" ref="AU61:AU73" si="53">IF(AND(V61&gt;=IF($B$2="mil",1,0.0254)*500, $V61&lt;=IF($B$2="mil",1,0.0254)*6500),"Pass",IF($B$2="mil",1,0.0254)*6500-$V61)</f>
        <v>#REF!</v>
      </c>
      <c r="AV61" s="504" t="e">
        <f t="shared" ref="AV61:AV73" si="54">IF(AND($W61&gt;=IF($B$2="mil",1,0.0254)*500, $W61&lt;=IF($B$2="mil",1,0.0254)*7000),"Pass",IF($B$2="mil",1,0.0254)*7000-$W61)</f>
        <v>#REF!</v>
      </c>
      <c r="AW61" s="473" t="e">
        <f t="shared" ref="AW61:AW73" si="55">IF(AND($AB61&gt;=IF($B$2="mil",1,0.0254)*500, $AB61&lt;=IF($B$2="mil",1,0.0254)*6500),"Pass",IF($B$2="mil",1,0.0254)*6500-$AB61)</f>
        <v>#REF!</v>
      </c>
      <c r="AX61" s="474" t="e">
        <f t="shared" ref="AX61:AX73" si="56">IF(AND($AC61&gt;=IF($B$2="mil",1,0.0254)*500, $AC61&lt;=IF($B$2="mil",1,0.0254)*7000),"Pass",IF($B$2="mil",1,0.0254)*7000-$AC61)</f>
        <v>#REF!</v>
      </c>
      <c r="AY61" s="4" t="e">
        <f t="shared" ref="AY61:AY81" ca="1" si="57">IF(AND(Z61="Pass",AA61="Pass",AF61="Pass",AG61="Pass",AO61="Pass",AQ61="Pass",AR61="Pass",AS61="Pass",AT61="Pass",AU61="Pass",AV61="Pass",AW61="Pass",AX61="Pass"),"Pass","Fail")</f>
        <v>#REF!</v>
      </c>
      <c r="AZ61" s="4" t="e">
        <f ca="1">IF(AND(AY71="Pass",AY72="Pass",AY73="Pass",AY75="Pass",AY76="Pass",AY77="Pass",AY79="Pass",AY80="Pass",AY81="Pass"),"Pass","Fail")</f>
        <v>#REF!</v>
      </c>
    </row>
    <row r="62" spans="1:52" x14ac:dyDescent="0.2">
      <c r="O62" s="2"/>
      <c r="P62" s="217" t="s">
        <v>88</v>
      </c>
      <c r="Q62" s="270">
        <v>565.69000000000005</v>
      </c>
      <c r="R62" s="270">
        <v>112.45</v>
      </c>
      <c r="S62" s="270">
        <v>112.45</v>
      </c>
      <c r="T62" s="364">
        <v>50</v>
      </c>
      <c r="U62" s="364">
        <v>50</v>
      </c>
      <c r="V62" s="490">
        <f>SUM($E36:$G36,$M36,$N36,$Q62:$R62,T62)</f>
        <v>4657.8399999999992</v>
      </c>
      <c r="W62" s="479" t="e">
        <f t="shared" si="47"/>
        <v>#REF!</v>
      </c>
      <c r="X62" s="469" t="e">
        <f>$Y$58 + IF($B$2="mil",1,0.0254)*DDR2Specs!$E$9</f>
        <v>#REF!</v>
      </c>
      <c r="Y62" s="492" t="e">
        <f>$X$58 + IF($B$2="mil",1,0.0254)*DDR2Specs!$F$9</f>
        <v>#REF!</v>
      </c>
      <c r="Z62" s="491" t="e">
        <f t="shared" si="40"/>
        <v>#REF!</v>
      </c>
      <c r="AA62" s="492" t="e">
        <f t="shared" si="41"/>
        <v>#REF!</v>
      </c>
      <c r="AB62" s="490">
        <f t="shared" si="48"/>
        <v>4657.8399999999992</v>
      </c>
      <c r="AC62" s="479" t="e">
        <f t="shared" si="49"/>
        <v>#REF!</v>
      </c>
      <c r="AD62" s="469" t="e">
        <f>$AE$58 + IF($B$2="mil",1,0.0254)*DDR2Specs!$E$9</f>
        <v>#REF!</v>
      </c>
      <c r="AE62" s="469" t="e">
        <f>$AD$58 + IF($B$2="mil",1,0.0254)*DDR2Specs!$F$9</f>
        <v>#REF!</v>
      </c>
      <c r="AF62" s="491" t="e">
        <f t="shared" si="42"/>
        <v>#REF!</v>
      </c>
      <c r="AG62" s="492" t="e">
        <f t="shared" si="43"/>
        <v>#REF!</v>
      </c>
      <c r="AH62" s="2"/>
      <c r="AI62" s="2"/>
      <c r="AJ62" s="2"/>
      <c r="AK62" s="2"/>
      <c r="AL62" s="2"/>
      <c r="AM62" s="2"/>
      <c r="AN62" s="505" t="s">
        <v>88</v>
      </c>
      <c r="AO62" s="474" t="e">
        <f t="shared" si="50"/>
        <v>#REF!</v>
      </c>
      <c r="AQ62" s="473" t="e">
        <f t="shared" si="44"/>
        <v>#REF!</v>
      </c>
      <c r="AR62" s="473" t="e">
        <f t="shared" si="45"/>
        <v>#REF!</v>
      </c>
      <c r="AS62" s="473" t="e">
        <f t="shared" ca="1" si="51"/>
        <v>#NAME?</v>
      </c>
      <c r="AT62" s="473" t="e">
        <f t="shared" ca="1" si="52"/>
        <v>#NAME?</v>
      </c>
      <c r="AU62" s="473" t="e">
        <f t="shared" si="53"/>
        <v>#REF!</v>
      </c>
      <c r="AV62" s="504" t="e">
        <f t="shared" si="54"/>
        <v>#REF!</v>
      </c>
      <c r="AW62" s="473" t="e">
        <f t="shared" si="55"/>
        <v>#REF!</v>
      </c>
      <c r="AX62" s="474" t="e">
        <f t="shared" si="56"/>
        <v>#REF!</v>
      </c>
      <c r="AY62" s="4" t="e">
        <f t="shared" ca="1" si="57"/>
        <v>#REF!</v>
      </c>
      <c r="AZ62" s="2"/>
    </row>
    <row r="63" spans="1:52" x14ac:dyDescent="0.2">
      <c r="O63" s="2"/>
      <c r="P63" s="217" t="s">
        <v>89</v>
      </c>
      <c r="Q63" s="270">
        <v>579.26</v>
      </c>
      <c r="R63" s="270">
        <v>90</v>
      </c>
      <c r="S63" s="270">
        <v>115</v>
      </c>
      <c r="T63" s="364">
        <v>50</v>
      </c>
      <c r="U63" s="364">
        <v>50</v>
      </c>
      <c r="V63" s="490">
        <f t="shared" si="46"/>
        <v>3908.0699999999997</v>
      </c>
      <c r="W63" s="479" t="e">
        <f>$V63+ IF($B$2="mil",1,0.0254)*$C37</f>
        <v>#REF!</v>
      </c>
      <c r="X63" s="469" t="e">
        <f>$Y$58 + IF($B$2="mil",1,0.0254)*DDR2Specs!$E$9</f>
        <v>#REF!</v>
      </c>
      <c r="Y63" s="492" t="e">
        <f>$X$58 + IF($B$2="mil",1,0.0254)*DDR2Specs!$F$9</f>
        <v>#REF!</v>
      </c>
      <c r="Z63" s="491" t="e">
        <f>IF($W63&lt;$X63,$X63-$W63,"Pass")</f>
        <v>#REF!</v>
      </c>
      <c r="AA63" s="492" t="e">
        <f t="shared" si="41"/>
        <v>#REF!</v>
      </c>
      <c r="AB63" s="490">
        <f t="shared" si="48"/>
        <v>3933.0699999999997</v>
      </c>
      <c r="AC63" s="479" t="e">
        <f t="shared" si="49"/>
        <v>#REF!</v>
      </c>
      <c r="AD63" s="469" t="e">
        <f>$AE$58 + IF($B$2="mil",1,0.0254)*DDR2Specs!$E$9</f>
        <v>#REF!</v>
      </c>
      <c r="AE63" s="469" t="e">
        <f>$AD$58 + IF($B$2="mil",1,0.0254)*DDR2Specs!$F$9</f>
        <v>#REF!</v>
      </c>
      <c r="AF63" s="491" t="e">
        <f t="shared" si="42"/>
        <v>#REF!</v>
      </c>
      <c r="AG63" s="492" t="e">
        <f t="shared" si="43"/>
        <v>#REF!</v>
      </c>
      <c r="AH63" s="2"/>
      <c r="AI63" s="2"/>
      <c r="AJ63" s="2"/>
      <c r="AK63" s="2"/>
      <c r="AL63" s="2"/>
      <c r="AM63" s="2"/>
      <c r="AN63" s="505" t="s">
        <v>89</v>
      </c>
      <c r="AO63" s="474" t="e">
        <f t="shared" si="50"/>
        <v>#REF!</v>
      </c>
      <c r="AQ63" s="473" t="e">
        <f t="shared" si="44"/>
        <v>#REF!</v>
      </c>
      <c r="AR63" s="473" t="e">
        <f t="shared" si="45"/>
        <v>#REF!</v>
      </c>
      <c r="AS63" s="473" t="e">
        <f t="shared" ca="1" si="51"/>
        <v>#NAME?</v>
      </c>
      <c r="AT63" s="473" t="e">
        <f t="shared" ca="1" si="52"/>
        <v>#NAME?</v>
      </c>
      <c r="AU63" s="473" t="e">
        <f t="shared" si="53"/>
        <v>#REF!</v>
      </c>
      <c r="AV63" s="504" t="e">
        <f t="shared" si="54"/>
        <v>#REF!</v>
      </c>
      <c r="AW63" s="473" t="e">
        <f t="shared" si="55"/>
        <v>#REF!</v>
      </c>
      <c r="AX63" s="474" t="e">
        <f t="shared" si="56"/>
        <v>#REF!</v>
      </c>
      <c r="AY63" s="4" t="e">
        <f t="shared" ca="1" si="57"/>
        <v>#REF!</v>
      </c>
      <c r="AZ63" s="2"/>
    </row>
    <row r="64" spans="1:52" x14ac:dyDescent="0.2">
      <c r="M64" t="s">
        <v>326</v>
      </c>
      <c r="O64" s="2"/>
      <c r="P64" s="217" t="s">
        <v>90</v>
      </c>
      <c r="Q64" s="270">
        <v>624.74</v>
      </c>
      <c r="R64" s="270">
        <v>70.48</v>
      </c>
      <c r="S64" s="270">
        <v>70.48</v>
      </c>
      <c r="T64" s="364">
        <v>50</v>
      </c>
      <c r="U64" s="364">
        <v>50</v>
      </c>
      <c r="V64" s="490">
        <f t="shared" si="46"/>
        <v>4974.9199999999992</v>
      </c>
      <c r="W64" s="479" t="e">
        <f t="shared" si="47"/>
        <v>#REF!</v>
      </c>
      <c r="X64" s="469" t="e">
        <f>$Y$58 + IF($B$2="mil",1,0.0254)*DDR2Specs!$E$9</f>
        <v>#REF!</v>
      </c>
      <c r="Y64" s="492" t="e">
        <f>$X$58 + IF($B$2="mil",1,0.0254)*DDR2Specs!$F$9</f>
        <v>#REF!</v>
      </c>
      <c r="Z64" s="491" t="e">
        <f t="shared" si="40"/>
        <v>#REF!</v>
      </c>
      <c r="AA64" s="492" t="e">
        <f t="shared" si="41"/>
        <v>#REF!</v>
      </c>
      <c r="AB64" s="490">
        <f t="shared" si="48"/>
        <v>4974.9199999999992</v>
      </c>
      <c r="AC64" s="479" t="e">
        <f t="shared" si="49"/>
        <v>#REF!</v>
      </c>
      <c r="AD64" s="469" t="e">
        <f>$AE$58 + IF($B$2="mil",1,0.0254)*DDR2Specs!$E$9</f>
        <v>#REF!</v>
      </c>
      <c r="AE64" s="469" t="e">
        <f>$AD$58 + IF($B$2="mil",1,0.0254)*DDR2Specs!$F$9</f>
        <v>#REF!</v>
      </c>
      <c r="AF64" s="491" t="e">
        <f t="shared" si="42"/>
        <v>#REF!</v>
      </c>
      <c r="AG64" s="492" t="e">
        <f t="shared" si="43"/>
        <v>#REF!</v>
      </c>
      <c r="AH64" s="2"/>
      <c r="AI64" s="2"/>
      <c r="AJ64" s="2"/>
      <c r="AK64" s="2"/>
      <c r="AL64" s="2"/>
      <c r="AM64" s="2"/>
      <c r="AN64" s="505" t="s">
        <v>90</v>
      </c>
      <c r="AO64" s="474" t="e">
        <f t="shared" si="50"/>
        <v>#REF!</v>
      </c>
      <c r="AQ64" s="473" t="e">
        <f t="shared" si="44"/>
        <v>#REF!</v>
      </c>
      <c r="AR64" s="473" t="e">
        <f t="shared" si="45"/>
        <v>#REF!</v>
      </c>
      <c r="AS64" s="473" t="e">
        <f t="shared" ca="1" si="51"/>
        <v>#NAME?</v>
      </c>
      <c r="AT64" s="473" t="e">
        <f t="shared" ca="1" si="52"/>
        <v>#NAME?</v>
      </c>
      <c r="AU64" s="473" t="e">
        <f t="shared" si="53"/>
        <v>#REF!</v>
      </c>
      <c r="AV64" s="504" t="e">
        <f t="shared" si="54"/>
        <v>#REF!</v>
      </c>
      <c r="AW64" s="473" t="e">
        <f t="shared" si="55"/>
        <v>#REF!</v>
      </c>
      <c r="AX64" s="474" t="e">
        <f t="shared" si="56"/>
        <v>#REF!</v>
      </c>
      <c r="AY64" s="4" t="e">
        <f t="shared" ca="1" si="57"/>
        <v>#REF!</v>
      </c>
      <c r="AZ64" s="2"/>
    </row>
    <row r="65" spans="14:52" x14ac:dyDescent="0.2">
      <c r="O65" s="2"/>
      <c r="P65" s="217" t="s">
        <v>91</v>
      </c>
      <c r="Q65" s="270">
        <v>610.85</v>
      </c>
      <c r="R65" s="270">
        <v>45.3</v>
      </c>
      <c r="S65" s="270">
        <v>47</v>
      </c>
      <c r="T65" s="364">
        <v>50</v>
      </c>
      <c r="U65" s="364">
        <v>50</v>
      </c>
      <c r="V65" s="490">
        <f t="shared" si="46"/>
        <v>3947.22</v>
      </c>
      <c r="W65" s="479" t="e">
        <f t="shared" si="47"/>
        <v>#REF!</v>
      </c>
      <c r="X65" s="469" t="e">
        <f>$Y$58 + IF($B$2="mil",1,0.0254)*DDR2Specs!$E$9</f>
        <v>#REF!</v>
      </c>
      <c r="Y65" s="492" t="e">
        <f>$X$58 + IF($B$2="mil",1,0.0254)*DDR2Specs!$F$9</f>
        <v>#REF!</v>
      </c>
      <c r="Z65" s="491" t="e">
        <f t="shared" si="40"/>
        <v>#REF!</v>
      </c>
      <c r="AA65" s="492" t="e">
        <f t="shared" si="41"/>
        <v>#REF!</v>
      </c>
      <c r="AB65" s="490">
        <f t="shared" si="48"/>
        <v>3948.9199999999996</v>
      </c>
      <c r="AC65" s="479" t="e">
        <f t="shared" si="49"/>
        <v>#REF!</v>
      </c>
      <c r="AD65" s="469" t="e">
        <f>$AE$58 + IF($B$2="mil",1,0.0254)*DDR2Specs!$E$9</f>
        <v>#REF!</v>
      </c>
      <c r="AE65" s="469" t="e">
        <f>$AD$58 + IF($B$2="mil",1,0.0254)*DDR2Specs!$F$9</f>
        <v>#REF!</v>
      </c>
      <c r="AF65" s="491" t="e">
        <f t="shared" si="42"/>
        <v>#REF!</v>
      </c>
      <c r="AG65" s="492" t="e">
        <f t="shared" si="43"/>
        <v>#REF!</v>
      </c>
      <c r="AH65" s="2"/>
      <c r="AI65" s="2"/>
      <c r="AJ65" s="2"/>
      <c r="AK65" s="2"/>
      <c r="AL65" s="2"/>
      <c r="AM65" s="2"/>
      <c r="AN65" s="505" t="s">
        <v>91</v>
      </c>
      <c r="AO65" s="474" t="e">
        <f t="shared" si="50"/>
        <v>#REF!</v>
      </c>
      <c r="AQ65" s="473" t="e">
        <f t="shared" si="44"/>
        <v>#REF!</v>
      </c>
      <c r="AR65" s="473" t="e">
        <f t="shared" si="45"/>
        <v>#REF!</v>
      </c>
      <c r="AS65" s="473" t="e">
        <f t="shared" ca="1" si="51"/>
        <v>#NAME?</v>
      </c>
      <c r="AT65" s="473" t="e">
        <f t="shared" ca="1" si="52"/>
        <v>#NAME?</v>
      </c>
      <c r="AU65" s="473" t="e">
        <f t="shared" si="53"/>
        <v>#REF!</v>
      </c>
      <c r="AV65" s="504" t="e">
        <f t="shared" si="54"/>
        <v>#REF!</v>
      </c>
      <c r="AW65" s="473" t="e">
        <f t="shared" si="55"/>
        <v>#REF!</v>
      </c>
      <c r="AX65" s="474" t="e">
        <f t="shared" si="56"/>
        <v>#REF!</v>
      </c>
      <c r="AY65" s="4" t="e">
        <f t="shared" ca="1" si="57"/>
        <v>#REF!</v>
      </c>
      <c r="AZ65" s="2"/>
    </row>
    <row r="66" spans="14:52" x14ac:dyDescent="0.2">
      <c r="N66" t="s">
        <v>293</v>
      </c>
      <c r="O66" s="2"/>
      <c r="P66" s="217" t="s">
        <v>92</v>
      </c>
      <c r="Q66" s="270">
        <v>604.02</v>
      </c>
      <c r="R66" s="270">
        <v>76.069999999999993</v>
      </c>
      <c r="S66" s="270">
        <v>76.069999999999993</v>
      </c>
      <c r="T66" s="364">
        <v>50</v>
      </c>
      <c r="U66" s="364">
        <v>50</v>
      </c>
      <c r="V66" s="490">
        <f t="shared" si="46"/>
        <v>3996.02</v>
      </c>
      <c r="W66" s="479" t="e">
        <f t="shared" si="47"/>
        <v>#REF!</v>
      </c>
      <c r="X66" s="469" t="e">
        <f>$Y$58 + IF($B$2="mil",1,0.0254)*DDR2Specs!$E$9</f>
        <v>#REF!</v>
      </c>
      <c r="Y66" s="492" t="e">
        <f>$X$58 + IF($B$2="mil",1,0.0254)*DDR2Specs!$F$9</f>
        <v>#REF!</v>
      </c>
      <c r="Z66" s="491" t="e">
        <f t="shared" si="40"/>
        <v>#REF!</v>
      </c>
      <c r="AA66" s="492" t="e">
        <f t="shared" si="41"/>
        <v>#REF!</v>
      </c>
      <c r="AB66" s="490">
        <f t="shared" si="48"/>
        <v>3996.02</v>
      </c>
      <c r="AC66" s="479" t="e">
        <f t="shared" si="49"/>
        <v>#REF!</v>
      </c>
      <c r="AD66" s="469" t="e">
        <f>$AE$58 + IF($B$2="mil",1,0.0254)*DDR2Specs!$E$9</f>
        <v>#REF!</v>
      </c>
      <c r="AE66" s="469" t="e">
        <f>$AD$58 + IF($B$2="mil",1,0.0254)*DDR2Specs!$F$9</f>
        <v>#REF!</v>
      </c>
      <c r="AF66" s="491" t="e">
        <f t="shared" si="42"/>
        <v>#REF!</v>
      </c>
      <c r="AG66" s="492" t="e">
        <f t="shared" si="43"/>
        <v>#REF!</v>
      </c>
      <c r="AH66" s="2"/>
      <c r="AI66" s="2"/>
      <c r="AJ66" s="2"/>
      <c r="AK66" s="2"/>
      <c r="AL66" s="2"/>
      <c r="AM66" s="2"/>
      <c r="AN66" s="505" t="s">
        <v>92</v>
      </c>
      <c r="AO66" s="474" t="e">
        <f t="shared" si="50"/>
        <v>#REF!</v>
      </c>
      <c r="AQ66" s="473" t="e">
        <f t="shared" si="44"/>
        <v>#REF!</v>
      </c>
      <c r="AR66" s="473" t="e">
        <f t="shared" si="45"/>
        <v>#REF!</v>
      </c>
      <c r="AS66" s="473" t="e">
        <f t="shared" ca="1" si="51"/>
        <v>#NAME?</v>
      </c>
      <c r="AT66" s="473" t="e">
        <f t="shared" ca="1" si="52"/>
        <v>#NAME?</v>
      </c>
      <c r="AU66" s="473" t="e">
        <f t="shared" si="53"/>
        <v>#REF!</v>
      </c>
      <c r="AV66" s="504" t="e">
        <f t="shared" si="54"/>
        <v>#REF!</v>
      </c>
      <c r="AW66" s="473" t="e">
        <f t="shared" si="55"/>
        <v>#REF!</v>
      </c>
      <c r="AX66" s="474" t="e">
        <f t="shared" si="56"/>
        <v>#REF!</v>
      </c>
      <c r="AY66" s="4" t="e">
        <f t="shared" ca="1" si="57"/>
        <v>#REF!</v>
      </c>
      <c r="AZ66" s="2"/>
    </row>
    <row r="67" spans="14:52" x14ac:dyDescent="0.2">
      <c r="O67" s="2"/>
      <c r="P67" s="217" t="s">
        <v>94</v>
      </c>
      <c r="Q67" s="270">
        <v>596.35</v>
      </c>
      <c r="R67" s="270">
        <v>76.09</v>
      </c>
      <c r="S67" s="270">
        <v>76.09</v>
      </c>
      <c r="T67" s="364">
        <v>50</v>
      </c>
      <c r="U67" s="364">
        <v>50</v>
      </c>
      <c r="V67" s="490">
        <f t="shared" si="46"/>
        <v>3880.39</v>
      </c>
      <c r="W67" s="479" t="e">
        <f t="shared" si="47"/>
        <v>#REF!</v>
      </c>
      <c r="X67" s="469" t="e">
        <f>$Y$58 + IF($B$2="mil",1,0.0254)*DDR2Specs!$E$9</f>
        <v>#REF!</v>
      </c>
      <c r="Y67" s="492" t="e">
        <f>$X$58 + IF($B$2="mil",1,0.0254)*DDR2Specs!$F$9</f>
        <v>#REF!</v>
      </c>
      <c r="Z67" s="491" t="e">
        <f t="shared" si="40"/>
        <v>#REF!</v>
      </c>
      <c r="AA67" s="492" t="e">
        <f t="shared" si="41"/>
        <v>#REF!</v>
      </c>
      <c r="AB67" s="490">
        <f t="shared" si="48"/>
        <v>3880.39</v>
      </c>
      <c r="AC67" s="479" t="e">
        <f t="shared" si="49"/>
        <v>#REF!</v>
      </c>
      <c r="AD67" s="469" t="e">
        <f>$AE$58 + IF($B$2="mil",1,0.0254)*DDR2Specs!$E$9</f>
        <v>#REF!</v>
      </c>
      <c r="AE67" s="469" t="e">
        <f>$AD$58 + IF($B$2="mil",1,0.0254)*DDR2Specs!$F$9</f>
        <v>#REF!</v>
      </c>
      <c r="AF67" s="491" t="e">
        <f t="shared" si="42"/>
        <v>#REF!</v>
      </c>
      <c r="AG67" s="492" t="e">
        <f t="shared" si="43"/>
        <v>#REF!</v>
      </c>
      <c r="AH67" s="2"/>
      <c r="AI67" s="2"/>
      <c r="AJ67" s="2"/>
      <c r="AK67" s="2"/>
      <c r="AL67" s="2"/>
      <c r="AM67" s="2"/>
      <c r="AN67" s="505" t="s">
        <v>94</v>
      </c>
      <c r="AO67" s="474" t="e">
        <f t="shared" si="50"/>
        <v>#REF!</v>
      </c>
      <c r="AQ67" s="473" t="e">
        <f t="shared" si="44"/>
        <v>#REF!</v>
      </c>
      <c r="AR67" s="473" t="e">
        <f t="shared" si="45"/>
        <v>#REF!</v>
      </c>
      <c r="AS67" s="473" t="e">
        <f t="shared" ca="1" si="51"/>
        <v>#NAME?</v>
      </c>
      <c r="AT67" s="473" t="e">
        <f t="shared" ca="1" si="52"/>
        <v>#NAME?</v>
      </c>
      <c r="AU67" s="473" t="e">
        <f t="shared" si="53"/>
        <v>#REF!</v>
      </c>
      <c r="AV67" s="504" t="e">
        <f t="shared" si="54"/>
        <v>#REF!</v>
      </c>
      <c r="AW67" s="473" t="e">
        <f t="shared" si="55"/>
        <v>#REF!</v>
      </c>
      <c r="AX67" s="474" t="e">
        <f t="shared" si="56"/>
        <v>#REF!</v>
      </c>
      <c r="AY67" s="4" t="e">
        <f t="shared" ca="1" si="57"/>
        <v>#REF!</v>
      </c>
      <c r="AZ67" s="2"/>
    </row>
    <row r="68" spans="14:52" x14ac:dyDescent="0.2">
      <c r="O68" s="2"/>
      <c r="P68" s="217" t="s">
        <v>95</v>
      </c>
      <c r="Q68" s="270">
        <v>615.67999999999995</v>
      </c>
      <c r="R68" s="270">
        <v>55.8</v>
      </c>
      <c r="S68" s="270">
        <v>55.8</v>
      </c>
      <c r="T68" s="364">
        <v>50</v>
      </c>
      <c r="U68" s="364">
        <v>50</v>
      </c>
      <c r="V68" s="490">
        <f t="shared" si="46"/>
        <v>3932.09</v>
      </c>
      <c r="W68" s="479" t="e">
        <f t="shared" si="47"/>
        <v>#REF!</v>
      </c>
      <c r="X68" s="469" t="e">
        <f>$Y$58 + IF($B$2="mil",1,0.0254)*DDR2Specs!$E$9</f>
        <v>#REF!</v>
      </c>
      <c r="Y68" s="492" t="e">
        <f>$X$58 + IF($B$2="mil",1,0.0254)*DDR2Specs!$F$9</f>
        <v>#REF!</v>
      </c>
      <c r="Z68" s="491" t="e">
        <f t="shared" si="40"/>
        <v>#REF!</v>
      </c>
      <c r="AA68" s="492" t="e">
        <f t="shared" si="41"/>
        <v>#REF!</v>
      </c>
      <c r="AB68" s="490">
        <f>SUM($E42:$G42,$M42,$N42,$Q68,$S68,$U68)</f>
        <v>3932.09</v>
      </c>
      <c r="AC68" s="479" t="e">
        <f t="shared" si="49"/>
        <v>#REF!</v>
      </c>
      <c r="AD68" s="469" t="e">
        <f>$AE$58 + IF($B$2="mil",1,0.0254)*DDR2Specs!$E$9</f>
        <v>#REF!</v>
      </c>
      <c r="AE68" s="469" t="e">
        <f>$AD$58 + IF($B$2="mil",1,0.0254)*DDR2Specs!$F$9</f>
        <v>#REF!</v>
      </c>
      <c r="AF68" s="491" t="e">
        <f t="shared" si="42"/>
        <v>#REF!</v>
      </c>
      <c r="AG68" s="492" t="e">
        <f t="shared" si="43"/>
        <v>#REF!</v>
      </c>
      <c r="AH68" s="2"/>
      <c r="AI68" s="2"/>
      <c r="AJ68" s="2"/>
      <c r="AK68" s="2"/>
      <c r="AL68" s="2"/>
      <c r="AM68" s="2"/>
      <c r="AN68" s="505" t="s">
        <v>95</v>
      </c>
      <c r="AO68" s="474" t="e">
        <f t="shared" si="50"/>
        <v>#REF!</v>
      </c>
      <c r="AQ68" s="473" t="e">
        <f t="shared" si="44"/>
        <v>#REF!</v>
      </c>
      <c r="AR68" s="473" t="e">
        <f t="shared" si="45"/>
        <v>#REF!</v>
      </c>
      <c r="AS68" s="473" t="e">
        <f t="shared" ca="1" si="51"/>
        <v>#NAME?</v>
      </c>
      <c r="AT68" s="473" t="e">
        <f t="shared" ca="1" si="52"/>
        <v>#NAME?</v>
      </c>
      <c r="AU68" s="473" t="e">
        <f t="shared" si="53"/>
        <v>#REF!</v>
      </c>
      <c r="AV68" s="504" t="e">
        <f t="shared" si="54"/>
        <v>#REF!</v>
      </c>
      <c r="AW68" s="473" t="e">
        <f t="shared" si="55"/>
        <v>#REF!</v>
      </c>
      <c r="AX68" s="474" t="e">
        <f t="shared" si="56"/>
        <v>#REF!</v>
      </c>
      <c r="AY68" s="4" t="e">
        <f t="shared" ca="1" si="57"/>
        <v>#REF!</v>
      </c>
      <c r="AZ68" s="2"/>
    </row>
    <row r="69" spans="14:52" x14ac:dyDescent="0.2">
      <c r="N69" t="s">
        <v>299</v>
      </c>
      <c r="O69" s="2"/>
      <c r="P69" s="217" t="s">
        <v>96</v>
      </c>
      <c r="Q69" s="270">
        <v>533.94000000000005</v>
      </c>
      <c r="R69" s="270">
        <v>73.59</v>
      </c>
      <c r="S69" s="270">
        <v>73.59</v>
      </c>
      <c r="T69" s="364">
        <v>50</v>
      </c>
      <c r="U69" s="364">
        <v>50</v>
      </c>
      <c r="V69" s="490">
        <f t="shared" si="46"/>
        <v>4120.1900000000005</v>
      </c>
      <c r="W69" s="479" t="e">
        <f t="shared" si="47"/>
        <v>#REF!</v>
      </c>
      <c r="X69" s="469" t="e">
        <f>$Y$58 + IF($B$2="mil",1,0.0254)*DDR2Specs!$E$9</f>
        <v>#REF!</v>
      </c>
      <c r="Y69" s="492" t="e">
        <f>$X$58 + IF($B$2="mil",1,0.0254)*DDR2Specs!$F$9</f>
        <v>#REF!</v>
      </c>
      <c r="Z69" s="491" t="e">
        <f t="shared" si="40"/>
        <v>#REF!</v>
      </c>
      <c r="AA69" s="492" t="e">
        <f t="shared" si="41"/>
        <v>#REF!</v>
      </c>
      <c r="AB69" s="490">
        <f t="shared" si="48"/>
        <v>4120.1900000000005</v>
      </c>
      <c r="AC69" s="479" t="e">
        <f t="shared" si="49"/>
        <v>#REF!</v>
      </c>
      <c r="AD69" s="469" t="e">
        <f>$AE$58 + IF($B$2="mil",1,0.0254)*DDR2Specs!$E$9</f>
        <v>#REF!</v>
      </c>
      <c r="AE69" s="469" t="e">
        <f>$AD$58 + IF($B$2="mil",1,0.0254)*DDR2Specs!$F$9</f>
        <v>#REF!</v>
      </c>
      <c r="AF69" s="491" t="e">
        <f t="shared" si="42"/>
        <v>#REF!</v>
      </c>
      <c r="AG69" s="492" t="e">
        <f t="shared" si="43"/>
        <v>#REF!</v>
      </c>
      <c r="AH69" s="2"/>
      <c r="AI69" s="2"/>
      <c r="AJ69" s="2"/>
      <c r="AK69" s="2"/>
      <c r="AL69" s="2"/>
      <c r="AM69" s="2"/>
      <c r="AN69" s="505" t="s">
        <v>96</v>
      </c>
      <c r="AO69" s="474" t="e">
        <f t="shared" si="50"/>
        <v>#REF!</v>
      </c>
      <c r="AQ69" s="473" t="e">
        <f t="shared" si="44"/>
        <v>#REF!</v>
      </c>
      <c r="AR69" s="473" t="e">
        <f t="shared" si="45"/>
        <v>#REF!</v>
      </c>
      <c r="AS69" s="473" t="e">
        <f t="shared" ca="1" si="51"/>
        <v>#NAME?</v>
      </c>
      <c r="AT69" s="473" t="e">
        <f t="shared" ca="1" si="52"/>
        <v>#NAME?</v>
      </c>
      <c r="AU69" s="473" t="e">
        <f t="shared" si="53"/>
        <v>#REF!</v>
      </c>
      <c r="AV69" s="504" t="e">
        <f t="shared" si="54"/>
        <v>#REF!</v>
      </c>
      <c r="AW69" s="473" t="e">
        <f t="shared" si="55"/>
        <v>#REF!</v>
      </c>
      <c r="AX69" s="474" t="e">
        <f t="shared" si="56"/>
        <v>#REF!</v>
      </c>
      <c r="AY69" s="4" t="e">
        <f t="shared" ca="1" si="57"/>
        <v>#REF!</v>
      </c>
      <c r="AZ69" s="2"/>
    </row>
    <row r="70" spans="14:52" x14ac:dyDescent="0.2">
      <c r="O70" s="2"/>
      <c r="P70" s="217" t="s">
        <v>98</v>
      </c>
      <c r="Q70" s="270">
        <v>559.79</v>
      </c>
      <c r="R70" s="270">
        <v>31.54</v>
      </c>
      <c r="S70" s="270">
        <v>31.54</v>
      </c>
      <c r="T70" s="364">
        <v>50</v>
      </c>
      <c r="U70" s="364">
        <v>50</v>
      </c>
      <c r="V70" s="490">
        <f>SUM($E44:$G44,$M44,$N44,$Q70:$R70,T70)</f>
        <v>4221.03</v>
      </c>
      <c r="W70" s="479" t="e">
        <f t="shared" si="47"/>
        <v>#REF!</v>
      </c>
      <c r="X70" s="469" t="e">
        <f>$Y$58 + IF($B$2="mil",1,0.0254)*DDR2Specs!$E$9</f>
        <v>#REF!</v>
      </c>
      <c r="Y70" s="492" t="e">
        <f>$X$58 + IF($B$2="mil",1,0.0254)*DDR2Specs!$F$9</f>
        <v>#REF!</v>
      </c>
      <c r="Z70" s="491" t="e">
        <f t="shared" si="40"/>
        <v>#REF!</v>
      </c>
      <c r="AA70" s="492" t="e">
        <f t="shared" si="41"/>
        <v>#REF!</v>
      </c>
      <c r="AB70" s="490">
        <f t="shared" si="48"/>
        <v>4221.03</v>
      </c>
      <c r="AC70" s="479" t="e">
        <f t="shared" si="49"/>
        <v>#REF!</v>
      </c>
      <c r="AD70" s="469" t="e">
        <f>$AE$58 + IF($B$2="mil",1,0.0254)*DDR2Specs!$E$9</f>
        <v>#REF!</v>
      </c>
      <c r="AE70" s="469" t="e">
        <f>$AD$58 + IF($B$2="mil",1,0.0254)*DDR2Specs!$F$9</f>
        <v>#REF!</v>
      </c>
      <c r="AF70" s="491" t="e">
        <f t="shared" si="42"/>
        <v>#REF!</v>
      </c>
      <c r="AG70" s="492" t="e">
        <f t="shared" si="43"/>
        <v>#REF!</v>
      </c>
      <c r="AH70" s="2"/>
      <c r="AI70" s="2"/>
      <c r="AJ70" s="2"/>
      <c r="AK70" s="2"/>
      <c r="AL70" s="2"/>
      <c r="AM70" s="2"/>
      <c r="AN70" s="505" t="s">
        <v>98</v>
      </c>
      <c r="AO70" s="474" t="e">
        <f t="shared" si="50"/>
        <v>#REF!</v>
      </c>
      <c r="AQ70" s="473" t="e">
        <f t="shared" si="44"/>
        <v>#REF!</v>
      </c>
      <c r="AR70" s="473" t="e">
        <f t="shared" si="45"/>
        <v>#REF!</v>
      </c>
      <c r="AS70" s="473" t="e">
        <f t="shared" ca="1" si="51"/>
        <v>#NAME?</v>
      </c>
      <c r="AT70" s="473" t="e">
        <f t="shared" ca="1" si="52"/>
        <v>#NAME?</v>
      </c>
      <c r="AU70" s="473" t="e">
        <f t="shared" si="53"/>
        <v>#REF!</v>
      </c>
      <c r="AV70" s="504" t="e">
        <f t="shared" si="54"/>
        <v>#REF!</v>
      </c>
      <c r="AW70" s="473" t="e">
        <f t="shared" si="55"/>
        <v>#REF!</v>
      </c>
      <c r="AX70" s="474" t="e">
        <f t="shared" si="56"/>
        <v>#REF!</v>
      </c>
      <c r="AY70" s="4" t="e">
        <f t="shared" ca="1" si="57"/>
        <v>#REF!</v>
      </c>
      <c r="AZ70" s="2"/>
    </row>
    <row r="71" spans="14:52" x14ac:dyDescent="0.2">
      <c r="O71" s="2"/>
      <c r="P71" s="217" t="s">
        <v>99</v>
      </c>
      <c r="Q71" s="270">
        <v>632.15</v>
      </c>
      <c r="R71" s="270">
        <v>69.180000000000007</v>
      </c>
      <c r="S71" s="270">
        <v>69.180000000000007</v>
      </c>
      <c r="T71" s="364">
        <v>50</v>
      </c>
      <c r="U71" s="364">
        <v>50</v>
      </c>
      <c r="V71" s="490">
        <f t="shared" si="46"/>
        <v>4087.56</v>
      </c>
      <c r="W71" s="479" t="e">
        <f t="shared" si="47"/>
        <v>#REF!</v>
      </c>
      <c r="X71" s="469" t="e">
        <f>$Y$58 + IF($B$2="mil",1,0.0254)*DDR2Specs!$E$9</f>
        <v>#REF!</v>
      </c>
      <c r="Y71" s="492" t="e">
        <f>$X$58 + IF($B$2="mil",1,0.0254)*DDR2Specs!$F$9</f>
        <v>#REF!</v>
      </c>
      <c r="Z71" s="491" t="e">
        <f t="shared" si="40"/>
        <v>#REF!</v>
      </c>
      <c r="AA71" s="492" t="e">
        <f t="shared" si="41"/>
        <v>#REF!</v>
      </c>
      <c r="AB71" s="490">
        <f t="shared" si="48"/>
        <v>4087.56</v>
      </c>
      <c r="AC71" s="479" t="e">
        <f t="shared" si="49"/>
        <v>#REF!</v>
      </c>
      <c r="AD71" s="469" t="e">
        <f>$AE$58 + IF($B$2="mil",1,0.0254)*DDR2Specs!$E$9</f>
        <v>#REF!</v>
      </c>
      <c r="AE71" s="469" t="e">
        <f>$AD$58 + IF($B$2="mil",1,0.0254)*DDR2Specs!$F$9</f>
        <v>#REF!</v>
      </c>
      <c r="AF71" s="491" t="e">
        <f t="shared" si="42"/>
        <v>#REF!</v>
      </c>
      <c r="AG71" s="492" t="e">
        <f t="shared" si="43"/>
        <v>#REF!</v>
      </c>
      <c r="AH71" s="2"/>
      <c r="AI71" s="2"/>
      <c r="AJ71" s="2"/>
      <c r="AK71" s="2"/>
      <c r="AL71" s="2"/>
      <c r="AM71" s="2"/>
      <c r="AN71" s="505" t="s">
        <v>99</v>
      </c>
      <c r="AO71" s="474" t="e">
        <f t="shared" si="50"/>
        <v>#REF!</v>
      </c>
      <c r="AQ71" s="473" t="e">
        <f t="shared" si="44"/>
        <v>#REF!</v>
      </c>
      <c r="AR71" s="473" t="e">
        <f t="shared" si="45"/>
        <v>#REF!</v>
      </c>
      <c r="AS71" s="473" t="e">
        <f t="shared" ca="1" si="51"/>
        <v>#NAME?</v>
      </c>
      <c r="AT71" s="473" t="e">
        <f t="shared" ca="1" si="52"/>
        <v>#NAME?</v>
      </c>
      <c r="AU71" s="473" t="e">
        <f t="shared" si="53"/>
        <v>#REF!</v>
      </c>
      <c r="AV71" s="504" t="e">
        <f t="shared" si="54"/>
        <v>#REF!</v>
      </c>
      <c r="AW71" s="473" t="e">
        <f t="shared" si="55"/>
        <v>#REF!</v>
      </c>
      <c r="AX71" s="474" t="e">
        <f t="shared" si="56"/>
        <v>#REF!</v>
      </c>
      <c r="AY71" s="4" t="e">
        <f t="shared" ca="1" si="57"/>
        <v>#REF!</v>
      </c>
      <c r="AZ71" s="2"/>
    </row>
    <row r="72" spans="14:52" x14ac:dyDescent="0.2">
      <c r="N72" t="s">
        <v>294</v>
      </c>
      <c r="O72" s="2"/>
      <c r="P72" s="217" t="s">
        <v>100</v>
      </c>
      <c r="Q72" s="270">
        <v>566.39</v>
      </c>
      <c r="R72" s="270">
        <v>29.07</v>
      </c>
      <c r="S72" s="270">
        <v>29.07</v>
      </c>
      <c r="T72" s="364">
        <v>50</v>
      </c>
      <c r="U72" s="364">
        <v>50</v>
      </c>
      <c r="V72" s="490">
        <f t="shared" si="46"/>
        <v>4079.73</v>
      </c>
      <c r="W72" s="479" t="e">
        <f t="shared" si="47"/>
        <v>#REF!</v>
      </c>
      <c r="X72" s="469" t="e">
        <f>$Y$58 + IF($B$2="mil",1,0.0254)*DDR2Specs!$E$9</f>
        <v>#REF!</v>
      </c>
      <c r="Y72" s="492" t="e">
        <f>$X$58 + IF($B$2="mil",1,0.0254)*DDR2Specs!$F$9</f>
        <v>#REF!</v>
      </c>
      <c r="Z72" s="491" t="e">
        <f t="shared" si="40"/>
        <v>#REF!</v>
      </c>
      <c r="AA72" s="492" t="e">
        <f t="shared" si="41"/>
        <v>#REF!</v>
      </c>
      <c r="AB72" s="490">
        <f t="shared" si="48"/>
        <v>4079.73</v>
      </c>
      <c r="AC72" s="479" t="e">
        <f t="shared" si="49"/>
        <v>#REF!</v>
      </c>
      <c r="AD72" s="469" t="e">
        <f>$AE$58 + IF($B$2="mil",1,0.0254)*DDR2Specs!$E$9</f>
        <v>#REF!</v>
      </c>
      <c r="AE72" s="469" t="e">
        <f>$AD$58 + IF($B$2="mil",1,0.0254)*DDR2Specs!$F$9</f>
        <v>#REF!</v>
      </c>
      <c r="AF72" s="491" t="e">
        <f t="shared" si="42"/>
        <v>#REF!</v>
      </c>
      <c r="AG72" s="492" t="e">
        <f t="shared" si="43"/>
        <v>#REF!</v>
      </c>
      <c r="AH72" s="2"/>
      <c r="AI72" s="2"/>
      <c r="AJ72" s="2"/>
      <c r="AK72" s="2"/>
      <c r="AL72" s="2"/>
      <c r="AM72" s="2"/>
      <c r="AN72" s="505" t="s">
        <v>100</v>
      </c>
      <c r="AO72" s="474" t="e">
        <f t="shared" si="50"/>
        <v>#REF!</v>
      </c>
      <c r="AQ72" s="473" t="e">
        <f t="shared" si="44"/>
        <v>#REF!</v>
      </c>
      <c r="AR72" s="473" t="e">
        <f t="shared" si="45"/>
        <v>#REF!</v>
      </c>
      <c r="AS72" s="473" t="e">
        <f t="shared" ca="1" si="51"/>
        <v>#NAME?</v>
      </c>
      <c r="AT72" s="473" t="e">
        <f t="shared" ca="1" si="52"/>
        <v>#NAME?</v>
      </c>
      <c r="AU72" s="473" t="e">
        <f t="shared" si="53"/>
        <v>#REF!</v>
      </c>
      <c r="AV72" s="504" t="e">
        <f t="shared" si="54"/>
        <v>#REF!</v>
      </c>
      <c r="AW72" s="473" t="e">
        <f t="shared" si="55"/>
        <v>#REF!</v>
      </c>
      <c r="AX72" s="474" t="e">
        <f t="shared" si="56"/>
        <v>#REF!</v>
      </c>
      <c r="AY72" s="4" t="e">
        <f t="shared" ca="1" si="57"/>
        <v>#REF!</v>
      </c>
      <c r="AZ72" s="2"/>
    </row>
    <row r="73" spans="14:52" x14ac:dyDescent="0.2">
      <c r="O73" s="2"/>
      <c r="P73" s="217" t="s">
        <v>101</v>
      </c>
      <c r="Q73" s="270">
        <v>566.39</v>
      </c>
      <c r="R73" s="270">
        <v>29.07</v>
      </c>
      <c r="S73" s="270">
        <v>29.07</v>
      </c>
      <c r="T73" s="364">
        <v>50</v>
      </c>
      <c r="U73" s="364">
        <v>50</v>
      </c>
      <c r="V73" s="490">
        <f t="shared" si="46"/>
        <v>3959.73</v>
      </c>
      <c r="W73" s="479" t="e">
        <f t="shared" si="47"/>
        <v>#REF!</v>
      </c>
      <c r="X73" s="469" t="e">
        <f>$Y$58 + IF($B$2="mil",1,0.0254)*DDR2Specs!$E$9</f>
        <v>#REF!</v>
      </c>
      <c r="Y73" s="492" t="e">
        <f>$X$58 + IF($B$2="mil",1,0.0254)*DDR2Specs!$F$9</f>
        <v>#REF!</v>
      </c>
      <c r="Z73" s="491" t="e">
        <f t="shared" si="40"/>
        <v>#REF!</v>
      </c>
      <c r="AA73" s="492" t="e">
        <f t="shared" si="41"/>
        <v>#REF!</v>
      </c>
      <c r="AB73" s="490">
        <f t="shared" si="48"/>
        <v>3959.73</v>
      </c>
      <c r="AC73" s="479" t="e">
        <f t="shared" si="49"/>
        <v>#REF!</v>
      </c>
      <c r="AD73" s="469" t="e">
        <f>$AE$58 + IF($B$2="mil",1,0.0254)*DDR2Specs!$E$9</f>
        <v>#REF!</v>
      </c>
      <c r="AE73" s="469" t="e">
        <f>$AD$58 + IF($B$2="mil",1,0.0254)*DDR2Specs!$F$9</f>
        <v>#REF!</v>
      </c>
      <c r="AF73" s="491" t="e">
        <f t="shared" si="42"/>
        <v>#REF!</v>
      </c>
      <c r="AG73" s="492" t="e">
        <f t="shared" si="43"/>
        <v>#REF!</v>
      </c>
      <c r="AH73" s="2"/>
      <c r="AI73" s="2"/>
      <c r="AJ73" s="2"/>
      <c r="AK73" s="2"/>
      <c r="AL73" s="2"/>
      <c r="AM73" s="2"/>
      <c r="AN73" s="505" t="s">
        <v>101</v>
      </c>
      <c r="AO73" s="474" t="e">
        <f t="shared" si="50"/>
        <v>#REF!</v>
      </c>
      <c r="AQ73" s="473" t="e">
        <f t="shared" si="44"/>
        <v>#REF!</v>
      </c>
      <c r="AR73" s="473" t="e">
        <f t="shared" si="45"/>
        <v>#REF!</v>
      </c>
      <c r="AS73" s="473" t="e">
        <f t="shared" ca="1" si="51"/>
        <v>#NAME?</v>
      </c>
      <c r="AT73" s="473" t="e">
        <f t="shared" ca="1" si="52"/>
        <v>#NAME?</v>
      </c>
      <c r="AU73" s="473" t="e">
        <f t="shared" si="53"/>
        <v>#REF!</v>
      </c>
      <c r="AV73" s="504" t="e">
        <f t="shared" si="54"/>
        <v>#REF!</v>
      </c>
      <c r="AW73" s="473" t="e">
        <f t="shared" si="55"/>
        <v>#REF!</v>
      </c>
      <c r="AX73" s="474" t="e">
        <f t="shared" si="56"/>
        <v>#REF!</v>
      </c>
      <c r="AY73" s="4" t="e">
        <f t="shared" ca="1" si="57"/>
        <v>#REF!</v>
      </c>
      <c r="AZ73" s="2"/>
    </row>
    <row r="74" spans="14:52" x14ac:dyDescent="0.2">
      <c r="O74" s="2"/>
      <c r="P74" s="180" t="s">
        <v>278</v>
      </c>
      <c r="Q74" s="298"/>
      <c r="R74" s="291"/>
      <c r="S74" s="291"/>
      <c r="T74" s="388"/>
      <c r="U74" s="388"/>
      <c r="V74" s="182"/>
      <c r="W74" s="182"/>
      <c r="X74" s="182"/>
      <c r="Y74" s="515"/>
      <c r="Z74" s="385"/>
      <c r="AA74" s="385"/>
      <c r="AB74" s="182"/>
      <c r="AC74" s="182"/>
      <c r="AD74" s="182"/>
      <c r="AE74" s="182"/>
      <c r="AF74" s="385"/>
      <c r="AG74" s="385"/>
      <c r="AH74" s="2"/>
      <c r="AI74" s="2"/>
      <c r="AJ74" s="2"/>
      <c r="AK74" s="2"/>
      <c r="AL74" s="2"/>
      <c r="AM74" s="2"/>
      <c r="AN74" s="134" t="s">
        <v>278</v>
      </c>
      <c r="AO74" s="478"/>
      <c r="AQ74" s="155"/>
      <c r="AR74" s="155"/>
      <c r="AS74" s="155"/>
      <c r="AT74" s="155"/>
      <c r="AU74" s="155"/>
      <c r="AV74" s="506"/>
      <c r="AW74" s="155"/>
      <c r="AX74" s="494"/>
      <c r="AY74" s="2"/>
      <c r="AZ74" s="2"/>
    </row>
    <row r="75" spans="14:52" x14ac:dyDescent="0.2">
      <c r="N75" t="s">
        <v>300</v>
      </c>
      <c r="O75" s="2"/>
      <c r="P75" s="161" t="s">
        <v>102</v>
      </c>
      <c r="Q75" s="270">
        <v>570.59</v>
      </c>
      <c r="R75" s="297">
        <v>75.430000000000007</v>
      </c>
      <c r="S75" s="297">
        <v>75.430000000000007</v>
      </c>
      <c r="T75" s="364">
        <v>50</v>
      </c>
      <c r="U75" s="364">
        <v>50</v>
      </c>
      <c r="V75" s="490">
        <f t="shared" si="46"/>
        <v>4016.64</v>
      </c>
      <c r="W75" s="479" t="e">
        <f t="shared" si="47"/>
        <v>#REF!</v>
      </c>
      <c r="X75" s="469" t="e">
        <f>$Y$58 + IF($B$2="mil",1,0.0254)*DDR2Specs!$E$9</f>
        <v>#REF!</v>
      </c>
      <c r="Y75" s="492" t="e">
        <f>$X$58 + IF($B$2="mil",1,0.0254)*DDR2Specs!$F$9</f>
        <v>#REF!</v>
      </c>
      <c r="Z75" s="491" t="e">
        <f>IF($W75&lt;$X75,$X75-$W75,"Pass")</f>
        <v>#REF!</v>
      </c>
      <c r="AA75" s="492" t="e">
        <f>IF($W75&gt;$Y75,$W75-$Y75,"Pass")</f>
        <v>#REF!</v>
      </c>
      <c r="AB75" s="490">
        <f t="shared" si="48"/>
        <v>4016.64</v>
      </c>
      <c r="AC75" s="469" t="e">
        <f>$AB75+IF($B$2="mil",1,0.0254)*$C49</f>
        <v>#REF!</v>
      </c>
      <c r="AD75" s="469" t="e">
        <f>$AE$58 + IF($B$2="mil",1,0.0254)*DDR2Specs!$E$9</f>
        <v>#REF!</v>
      </c>
      <c r="AE75" s="469" t="e">
        <f>$AD$58 + IF($B$2="mil",1,0.0254)*DDR2Specs!$F$9</f>
        <v>#REF!</v>
      </c>
      <c r="AF75" s="491" t="e">
        <f>IF($AC75&lt;$AD75,$AD75-$AC75,"Pass")</f>
        <v>#REF!</v>
      </c>
      <c r="AG75" s="492" t="e">
        <f>IF($AC75&gt;$AE75,$AC75-$AE75,"Pass")</f>
        <v>#REF!</v>
      </c>
      <c r="AH75" s="2"/>
      <c r="AI75" s="2"/>
      <c r="AJ75" s="2"/>
      <c r="AK75" s="2"/>
      <c r="AL75" s="2"/>
      <c r="AM75" s="2"/>
      <c r="AN75" s="503" t="s">
        <v>102</v>
      </c>
      <c r="AO75" s="474" t="e">
        <f>IF($Q75&lt;=IF($B$2="mil",1,0.0254)*1000,"Pass",IF($B$2="mil",1,0.0254)*1000-$Q75)</f>
        <v>#REF!</v>
      </c>
      <c r="AQ75" s="473" t="e">
        <f>IF($R75&lt;=IF($B$2="mil",1,0.0254)*750,"Pass",IF($B$2="mil",1,0.0254)*750-$R75)</f>
        <v>#REF!</v>
      </c>
      <c r="AR75" s="473" t="e">
        <f>IF($S75&lt;=IF($B$2="mil",1,0.0254)*750,"Pass",IF($B$2="mil",1,0.0254)*750-$S75)</f>
        <v>#REF!</v>
      </c>
      <c r="AS75" s="473" t="e">
        <f t="shared" ref="AS75:AT77" ca="1" si="58">CheckLength2(IF($B$2="mil",1,0.0254)*950,R75,T75,0)</f>
        <v>#NAME?</v>
      </c>
      <c r="AT75" s="473" t="e">
        <f t="shared" ca="1" si="58"/>
        <v>#NAME?</v>
      </c>
      <c r="AU75" s="473" t="e">
        <f>IF(AND(V75&gt;=IF($B$2="mil",1,0.0254)*500, $V75&lt;=IF($B$2="mil",1,0.0254)*6500),"Pass",IF($B$2="mil",1,0.0254)*6500-$V75)</f>
        <v>#REF!</v>
      </c>
      <c r="AV75" s="504" t="e">
        <f>IF(AND($W75&gt;=IF($B$2="mil",1,0.0254)*500, $W75&lt;=IF($B$2="mil",1,0.0254)*7000),"Pass",IF($B$2="mil",1,0.0254)*7000-$W75)</f>
        <v>#REF!</v>
      </c>
      <c r="AW75" s="473" t="e">
        <f>IF(AND($AB75&gt;=IF($B$2="mil",1,0.0254)*500, $AB75&lt;=IF($B$2="mil",1,0.0254)*6500),"Pass",IF($B$2="mil",1,0.0254)*6500-$AB75)</f>
        <v>#REF!</v>
      </c>
      <c r="AX75" s="474" t="e">
        <f>IF(AND($AC75&gt;=IF($B$2="mil",1,0.0254)*500, $AC75&lt;=IF($B$2="mil",1,0.0254)*7000),"Pass",IF($B$2="mil",1,0.0254)*7000-$AC75)</f>
        <v>#REF!</v>
      </c>
      <c r="AY75" s="4" t="e">
        <f t="shared" ca="1" si="57"/>
        <v>#REF!</v>
      </c>
      <c r="AZ75" s="2"/>
    </row>
    <row r="76" spans="14:52" x14ac:dyDescent="0.2">
      <c r="O76" s="2"/>
      <c r="P76" s="215" t="s">
        <v>103</v>
      </c>
      <c r="Q76" s="270">
        <v>585.74</v>
      </c>
      <c r="R76" s="292">
        <v>58.08</v>
      </c>
      <c r="S76" s="292">
        <v>58.08</v>
      </c>
      <c r="T76" s="364">
        <v>50</v>
      </c>
      <c r="U76" s="364">
        <v>50</v>
      </c>
      <c r="V76" s="490">
        <f t="shared" si="46"/>
        <v>4067.38</v>
      </c>
      <c r="W76" s="479" t="e">
        <f t="shared" si="47"/>
        <v>#REF!</v>
      </c>
      <c r="X76" s="469" t="e">
        <f>$Y$58 + IF($B$2="mil",1,0.0254)*DDR2Specs!$E$9</f>
        <v>#REF!</v>
      </c>
      <c r="Y76" s="492" t="e">
        <f>$X$58 + IF($B$2="mil",1,0.0254)*DDR2Specs!$F$9</f>
        <v>#REF!</v>
      </c>
      <c r="Z76" s="491" t="e">
        <f>IF($W76&lt;$X76,$X76-$W76,"Pass")</f>
        <v>#REF!</v>
      </c>
      <c r="AA76" s="492" t="e">
        <f>IF($W76&gt;$Y76,$W76-$Y76,"Pass")</f>
        <v>#REF!</v>
      </c>
      <c r="AB76" s="490">
        <f t="shared" si="48"/>
        <v>4067.38</v>
      </c>
      <c r="AC76" s="469" t="e">
        <f>$AB76+IF($B$2="mil",1,0.0254)*$C50</f>
        <v>#REF!</v>
      </c>
      <c r="AD76" s="469" t="e">
        <f>$AE$58 + IF($B$2="mil",1,0.0254)*DDR2Specs!$E$9</f>
        <v>#REF!</v>
      </c>
      <c r="AE76" s="469" t="e">
        <f>$AD$58 + IF($B$2="mil",1,0.0254)*DDR2Specs!$F$9</f>
        <v>#REF!</v>
      </c>
      <c r="AF76" s="491" t="e">
        <f>IF($AC76&lt;$AD76,$AD76-$AC76,"Pass")</f>
        <v>#REF!</v>
      </c>
      <c r="AG76" s="492" t="e">
        <f>IF($AC76&gt;$AE76,$AC76-$AE76,"Pass")</f>
        <v>#REF!</v>
      </c>
      <c r="AH76" s="2"/>
      <c r="AI76" s="2"/>
      <c r="AJ76" s="2"/>
      <c r="AK76" s="2"/>
      <c r="AL76" s="2"/>
      <c r="AM76" s="2"/>
      <c r="AN76" s="507" t="s">
        <v>103</v>
      </c>
      <c r="AO76" s="474" t="e">
        <f>IF($Q76&lt;=IF($B$2="mil",1,0.0254)*1000,"Pass",IF($B$2="mil",1,0.0254)*1000-$Q76)</f>
        <v>#REF!</v>
      </c>
      <c r="AQ76" s="473" t="e">
        <f>IF($R76&lt;=IF($B$2="mil",1,0.0254)*750,"Pass",IF($B$2="mil",1,0.0254)*750-$R76)</f>
        <v>#REF!</v>
      </c>
      <c r="AR76" s="473" t="e">
        <f>IF($S76&lt;=IF($B$2="mil",1,0.0254)*750,"Pass",IF($B$2="mil",1,0.0254)*750-$S76)</f>
        <v>#REF!</v>
      </c>
      <c r="AS76" s="473" t="e">
        <f t="shared" ca="1" si="58"/>
        <v>#NAME?</v>
      </c>
      <c r="AT76" s="473" t="e">
        <f t="shared" ca="1" si="58"/>
        <v>#NAME?</v>
      </c>
      <c r="AU76" s="473" t="e">
        <f>IF(AND(V76&gt;=IF($B$2="mil",1,0.0254)*500, $V76&lt;=IF($B$2="mil",1,0.0254)*6500),"Pass",IF($B$2="mil",1,0.0254)*6500-$V76)</f>
        <v>#REF!</v>
      </c>
      <c r="AV76" s="504" t="e">
        <f>IF(AND($W76&gt;=IF($B$2="mil",1,0.0254)*500, $W76&lt;=IF($B$2="mil",1,0.0254)*7000),"Pass",IF($B$2="mil",1,0.0254)*7000-$W76)</f>
        <v>#REF!</v>
      </c>
      <c r="AW76" s="473" t="e">
        <f>IF(AND($AB76&gt;=IF($B$2="mil",1,0.0254)*500, $AB76&lt;=IF($B$2="mil",1,0.0254)*6500),"Pass",IF($B$2="mil",1,0.0254)*6500-$AB76)</f>
        <v>#REF!</v>
      </c>
      <c r="AX76" s="474" t="e">
        <f>IF(AND($AC76&gt;=IF($B$2="mil",1,0.0254)*500, $AC76&lt;=IF($B$2="mil",1,0.0254)*7000),"Pass",IF($B$2="mil",1,0.0254)*7000-$AC76)</f>
        <v>#REF!</v>
      </c>
      <c r="AY76" s="4" t="e">
        <f t="shared" ca="1" si="57"/>
        <v>#REF!</v>
      </c>
      <c r="AZ76" s="2"/>
    </row>
    <row r="77" spans="14:52" x14ac:dyDescent="0.2">
      <c r="O77" s="2"/>
      <c r="P77" s="215" t="s">
        <v>104</v>
      </c>
      <c r="Q77" s="270">
        <v>541.1</v>
      </c>
      <c r="R77" s="169">
        <v>78.75</v>
      </c>
      <c r="S77" s="169">
        <v>78.75</v>
      </c>
      <c r="T77" s="364">
        <v>50</v>
      </c>
      <c r="U77" s="364">
        <v>50</v>
      </c>
      <c r="V77" s="490">
        <f t="shared" si="46"/>
        <v>4177.43</v>
      </c>
      <c r="W77" s="479" t="e">
        <f t="shared" si="47"/>
        <v>#REF!</v>
      </c>
      <c r="X77" s="469" t="e">
        <f>$Y$58 + IF($B$2="mil",1,0.0254)*DDR2Specs!$E$9</f>
        <v>#REF!</v>
      </c>
      <c r="Y77" s="492" t="e">
        <f>$X$58 + IF($B$2="mil",1,0.0254)*DDR2Specs!$F$9</f>
        <v>#REF!</v>
      </c>
      <c r="Z77" s="491" t="e">
        <f>IF($W77&lt;$X77,$X77-$W77,"Pass")</f>
        <v>#REF!</v>
      </c>
      <c r="AA77" s="492" t="e">
        <f>IF($W77&gt;$Y77,$W77-$Y77,"Pass")</f>
        <v>#REF!</v>
      </c>
      <c r="AB77" s="490">
        <f t="shared" si="48"/>
        <v>4177.43</v>
      </c>
      <c r="AC77" s="469" t="e">
        <f>$AB77+IF($B$2="mil",1,0.0254)*$C51</f>
        <v>#REF!</v>
      </c>
      <c r="AD77" s="469" t="e">
        <f>$AE$58 + IF($B$2="mil",1,0.0254)*DDR2Specs!$E$9</f>
        <v>#REF!</v>
      </c>
      <c r="AE77" s="469" t="e">
        <f>$AD$58 + IF($B$2="mil",1,0.0254)*DDR2Specs!$F$9</f>
        <v>#REF!</v>
      </c>
      <c r="AF77" s="491" t="e">
        <f>IF($AC77&lt;$AD77,$AD77-$AC77,"Pass")</f>
        <v>#REF!</v>
      </c>
      <c r="AG77" s="492" t="e">
        <f>IF($AC77&gt;$AE77,$AC77-$AE77,"Pass")</f>
        <v>#REF!</v>
      </c>
      <c r="AH77" s="2"/>
      <c r="AI77" s="2"/>
      <c r="AJ77" s="2"/>
      <c r="AK77" s="2"/>
      <c r="AL77" s="2"/>
      <c r="AM77" s="2"/>
      <c r="AN77" s="507" t="s">
        <v>104</v>
      </c>
      <c r="AO77" s="474" t="e">
        <f>IF($Q77&lt;=IF($B$2="mil",1,0.0254)*1000,"Pass",IF($B$2="mil",1,0.0254)*1000-$Q77)</f>
        <v>#REF!</v>
      </c>
      <c r="AQ77" s="473" t="e">
        <f>IF($R77&lt;=IF($B$2="mil",1,0.0254)*750,"Pass",IF($B$2="mil",1,0.0254)*750-$R77)</f>
        <v>#REF!</v>
      </c>
      <c r="AR77" s="473" t="e">
        <f>IF($S77&lt;=IF($B$2="mil",1,0.0254)*750,"Pass",IF($B$2="mil",1,0.0254)*750-$S77)</f>
        <v>#REF!</v>
      </c>
      <c r="AS77" s="473" t="e">
        <f t="shared" ca="1" si="58"/>
        <v>#NAME?</v>
      </c>
      <c r="AT77" s="473" t="e">
        <f t="shared" ca="1" si="58"/>
        <v>#NAME?</v>
      </c>
      <c r="AU77" s="473" t="e">
        <f>IF(AND(V77&gt;=IF($B$2="mil",1,0.0254)*500, $V77&lt;=IF($B$2="mil",1,0.0254)*6500),"Pass",IF($B$2="mil",1,0.0254)*6500-$V77)</f>
        <v>#REF!</v>
      </c>
      <c r="AV77" s="504" t="e">
        <f>IF(AND($W77&gt;=IF($B$2="mil",1,0.0254)*500, $W77&lt;=IF($B$2="mil",1,0.0254)*7000),"Pass",IF($B$2="mil",1,0.0254)*7000-$W77)</f>
        <v>#REF!</v>
      </c>
      <c r="AW77" s="473" t="e">
        <f>IF(AND($AB77&gt;=IF($B$2="mil",1,0.0254)*500, $AB77&lt;=IF($B$2="mil",1,0.0254)*6500),"Pass",IF($B$2="mil",1,0.0254)*6500-$AB77)</f>
        <v>#REF!</v>
      </c>
      <c r="AX77" s="474" t="e">
        <f>IF(AND($AC77&gt;=IF($B$2="mil",1,0.0254)*500, $AC77&lt;=IF($B$2="mil",1,0.0254)*7000),"Pass",IF($B$2="mil",1,0.0254)*7000-$AC77)</f>
        <v>#REF!</v>
      </c>
      <c r="AY77" s="4" t="e">
        <f t="shared" ca="1" si="57"/>
        <v>#REF!</v>
      </c>
      <c r="AZ77" s="2"/>
    </row>
    <row r="78" spans="14:52" x14ac:dyDescent="0.2">
      <c r="N78" t="s">
        <v>296</v>
      </c>
      <c r="O78" s="2"/>
      <c r="P78" s="180" t="s">
        <v>279</v>
      </c>
      <c r="Q78" s="298"/>
      <c r="R78" s="182"/>
      <c r="S78" s="182"/>
      <c r="T78" s="388"/>
      <c r="U78" s="388"/>
      <c r="V78" s="182"/>
      <c r="W78" s="182"/>
      <c r="X78" s="182"/>
      <c r="Y78" s="515"/>
      <c r="Z78" s="385"/>
      <c r="AA78" s="385"/>
      <c r="AB78" s="182"/>
      <c r="AC78" s="182"/>
      <c r="AD78" s="182"/>
      <c r="AE78" s="182"/>
      <c r="AF78" s="385"/>
      <c r="AG78" s="385"/>
      <c r="AH78" s="2"/>
      <c r="AI78" s="2"/>
      <c r="AJ78" s="2"/>
      <c r="AK78" s="2"/>
      <c r="AL78" s="2"/>
      <c r="AM78" s="2"/>
      <c r="AN78" s="134" t="s">
        <v>279</v>
      </c>
      <c r="AO78" s="494"/>
      <c r="AQ78" s="385"/>
      <c r="AR78" s="385"/>
      <c r="AS78" s="385"/>
      <c r="AT78" s="385"/>
      <c r="AU78" s="385"/>
      <c r="AV78" s="506"/>
      <c r="AW78" s="385"/>
      <c r="AX78" s="494"/>
      <c r="AY78" s="2"/>
      <c r="AZ78" s="2"/>
    </row>
    <row r="79" spans="14:52" x14ac:dyDescent="0.2">
      <c r="O79" s="2"/>
      <c r="P79" s="161" t="s">
        <v>106</v>
      </c>
      <c r="Q79" s="270">
        <v>564.66</v>
      </c>
      <c r="R79" s="169">
        <v>27.77</v>
      </c>
      <c r="S79" s="169">
        <v>27.77</v>
      </c>
      <c r="T79" s="364">
        <v>50</v>
      </c>
      <c r="U79" s="364">
        <v>50</v>
      </c>
      <c r="V79" s="490">
        <f t="shared" si="46"/>
        <v>3949.9199999999996</v>
      </c>
      <c r="W79" s="479" t="e">
        <f t="shared" si="47"/>
        <v>#REF!</v>
      </c>
      <c r="X79" s="469" t="e">
        <f>$Y$58 + IF($B$2="mil",1,0.0254)*DDR2Specs!$E$9</f>
        <v>#REF!</v>
      </c>
      <c r="Y79" s="492" t="e">
        <f>$X$58 + IF($B$2="mil",1,0.0254)*DDR2Specs!$F$9</f>
        <v>#REF!</v>
      </c>
      <c r="Z79" s="491" t="e">
        <f>IF($W79&lt;$X79,$X79-$W79,"Pass")</f>
        <v>#REF!</v>
      </c>
      <c r="AA79" s="492" t="e">
        <f>IF($W79&gt;$Y79,$W79-$Y79,"Pass")</f>
        <v>#REF!</v>
      </c>
      <c r="AB79" s="490">
        <f t="shared" si="48"/>
        <v>3949.9199999999996</v>
      </c>
      <c r="AC79" s="469" t="e">
        <f>$AB79+IF($B$2="mil",1,0.0254)*$C53</f>
        <v>#REF!</v>
      </c>
      <c r="AD79" s="469" t="e">
        <f>$AE$58 + IF($B$2="mil",1,0.0254)*DDR2Specs!$E$9</f>
        <v>#REF!</v>
      </c>
      <c r="AE79" s="469" t="e">
        <f>$AD$58 + IF($B$2="mil",1,0.0254)*DDR2Specs!$F$9</f>
        <v>#REF!</v>
      </c>
      <c r="AF79" s="491" t="e">
        <f>IF($AC79&lt;$AD79,$AD79-$AC79,"Pass")</f>
        <v>#REF!</v>
      </c>
      <c r="AG79" s="492" t="e">
        <f>IF($AC79&gt;$AE79,$AC79-$AE79,"Pass")</f>
        <v>#REF!</v>
      </c>
      <c r="AH79" s="2"/>
      <c r="AI79" s="2"/>
      <c r="AJ79" s="2"/>
      <c r="AK79" s="2"/>
      <c r="AL79" s="2"/>
      <c r="AM79" s="2"/>
      <c r="AN79" s="503" t="s">
        <v>106</v>
      </c>
      <c r="AO79" s="474" t="e">
        <f>IF($Q79&lt;=IF($B$2="mil",1,0.0254)*1000,"Pass",IF($B$2="mil",1,0.0254)*1000-$Q79)</f>
        <v>#REF!</v>
      </c>
      <c r="AQ79" s="473" t="e">
        <f>IF($R79&lt;=IF($B$2="mil",1,0.0254)*750,"Pass",IF($B$2="mil",1,0.0254)*750-$R79)</f>
        <v>#REF!</v>
      </c>
      <c r="AR79" s="473" t="e">
        <f>IF($S79&lt;=IF($B$2="mil",1,0.0254)*750,"Pass",IF($B$2="mil",1,0.0254)*750-$S79)</f>
        <v>#REF!</v>
      </c>
      <c r="AS79" s="473" t="e">
        <f t="shared" ref="AS79:AT81" ca="1" si="59">CheckLength2(IF($B$2="mil",1,0.0254)*950,R79,T79,0)</f>
        <v>#NAME?</v>
      </c>
      <c r="AT79" s="473" t="e">
        <f t="shared" ca="1" si="59"/>
        <v>#NAME?</v>
      </c>
      <c r="AU79" s="473" t="e">
        <f>IF(AND(V79&gt;=IF($B$2="mil",1,0.0254)*500, $V79&lt;=IF($B$2="mil",1,0.0254)*6500),"Pass",IF($B$2="mil",1,0.0254)*6500-$V79)</f>
        <v>#REF!</v>
      </c>
      <c r="AV79" s="504" t="e">
        <f>IF(AND($W79&gt;=IF($B$2="mil",1,0.0254)*500, $W79&lt;=IF($B$2="mil",1,0.0254)*7000),"Pass",IF($B$2="mil",1,0.0254)*7000-$W79)</f>
        <v>#REF!</v>
      </c>
      <c r="AW79" s="473" t="e">
        <f>IF(AND($AB79&gt;=IF($B$2="mil",1,0.0254)*500, $AB79&lt;=IF($B$2="mil",1,0.0254)*6500),"Pass",IF($B$2="mil",1,0.0254)*6500-$AB79)</f>
        <v>#REF!</v>
      </c>
      <c r="AX79" s="474" t="e">
        <f>IF(AND($AC79&gt;=IF($B$2="mil",1,0.0254)*500, $AC79&lt;=IF($B$2="mil",1,0.0254)*7000),"Pass",IF($B$2="mil",1,0.0254)*7000-$AC79)</f>
        <v>#REF!</v>
      </c>
      <c r="AY79" s="4" t="e">
        <f t="shared" ca="1" si="57"/>
        <v>#REF!</v>
      </c>
      <c r="AZ79" s="2"/>
    </row>
    <row r="80" spans="14:52" x14ac:dyDescent="0.2">
      <c r="O80" s="2"/>
      <c r="P80" s="214" t="s">
        <v>107</v>
      </c>
      <c r="Q80" s="270">
        <v>578.77</v>
      </c>
      <c r="R80" s="169">
        <v>56.02</v>
      </c>
      <c r="S80" s="169">
        <v>56.02</v>
      </c>
      <c r="T80" s="364">
        <v>50</v>
      </c>
      <c r="U80" s="364">
        <v>50</v>
      </c>
      <c r="V80" s="490">
        <f t="shared" si="46"/>
        <v>3966.47</v>
      </c>
      <c r="W80" s="479" t="e">
        <f t="shared" si="47"/>
        <v>#REF!</v>
      </c>
      <c r="X80" s="469" t="e">
        <f>$Y$58 + IF($B$2="mil",1,0.0254)*DDR2Specs!$E$9</f>
        <v>#REF!</v>
      </c>
      <c r="Y80" s="492" t="e">
        <f>$X$58 + IF($B$2="mil",1,0.0254)*DDR2Specs!$F$9</f>
        <v>#REF!</v>
      </c>
      <c r="Z80" s="491" t="e">
        <f>IF($W80&lt;$X80,$X80-$W80,"Pass")</f>
        <v>#REF!</v>
      </c>
      <c r="AA80" s="492" t="e">
        <f>IF($W80&gt;$Y80,$W80-$Y80,"Pass")</f>
        <v>#REF!</v>
      </c>
      <c r="AB80" s="490">
        <f t="shared" si="48"/>
        <v>3966.47</v>
      </c>
      <c r="AC80" s="469" t="e">
        <f>$AB80+IF($B$2="mil",1,0.0254)*$C54</f>
        <v>#REF!</v>
      </c>
      <c r="AD80" s="469" t="e">
        <f>$AE$58 + IF($B$2="mil",1,0.0254)*DDR2Specs!$E$9</f>
        <v>#REF!</v>
      </c>
      <c r="AE80" s="469" t="e">
        <f>$AD$58 + IF($B$2="mil",1,0.0254)*DDR2Specs!$F$9</f>
        <v>#REF!</v>
      </c>
      <c r="AF80" s="491" t="e">
        <f>IF($AC80&lt;$AD80,$AD80-$AC80,"Pass")</f>
        <v>#REF!</v>
      </c>
      <c r="AG80" s="492" t="e">
        <f>IF($AC80&gt;$AE80,$AC80-$AE80,"Pass")</f>
        <v>#REF!</v>
      </c>
      <c r="AH80" s="2"/>
      <c r="AI80" s="2"/>
      <c r="AJ80" s="2"/>
      <c r="AK80" s="2"/>
      <c r="AL80" s="2"/>
      <c r="AM80" s="2"/>
      <c r="AN80" s="505" t="s">
        <v>107</v>
      </c>
      <c r="AO80" s="474" t="e">
        <f>IF($Q80&lt;=IF($B$2="mil",1,0.0254)*1000,"Pass",IF($B$2="mil",1,0.0254)*1000-$Q80)</f>
        <v>#REF!</v>
      </c>
      <c r="AQ80" s="473" t="e">
        <f>IF($R80&lt;=IF($B$2="mil",1,0.0254)*750,"Pass",IF($B$2="mil",1,0.0254)*750-$R80)</f>
        <v>#REF!</v>
      </c>
      <c r="AR80" s="473" t="e">
        <f>IF($S80&lt;=IF($B$2="mil",1,0.0254)*750,"Pass",IF($B$2="mil",1,0.0254)*750-$S80)</f>
        <v>#REF!</v>
      </c>
      <c r="AS80" s="473" t="e">
        <f t="shared" ca="1" si="59"/>
        <v>#NAME?</v>
      </c>
      <c r="AT80" s="473" t="e">
        <f t="shared" ca="1" si="59"/>
        <v>#NAME?</v>
      </c>
      <c r="AU80" s="473" t="e">
        <f>IF(AND(V80&gt;=IF($B$2="mil",1,0.0254)*500, $V80&lt;=IF($B$2="mil",1,0.0254)*6500),"Pass",IF($B$2="mil",1,0.0254)*6500-$V80)</f>
        <v>#REF!</v>
      </c>
      <c r="AV80" s="504" t="e">
        <f>IF(AND($W80&gt;=IF($B$2="mil",1,0.0254)*500, $W80&lt;=IF($B$2="mil",1,0.0254)*7000),"Pass",IF($B$2="mil",1,0.0254)*7000-$W80)</f>
        <v>#REF!</v>
      </c>
      <c r="AW80" s="473" t="e">
        <f>IF(AND($AB80&gt;=IF($B$2="mil",1,0.0254)*500, $AB80&lt;=IF($B$2="mil",1,0.0254)*6500),"Pass",IF($B$2="mil",1,0.0254)*6500-$AB80)</f>
        <v>#REF!</v>
      </c>
      <c r="AX80" s="474" t="e">
        <f>IF(AND($AC80&gt;=IF($B$2="mil",1,0.0254)*500, $AC80&lt;=IF($B$2="mil",1,0.0254)*7000),"Pass",IF($B$2="mil",1,0.0254)*7000-$AC80)</f>
        <v>#REF!</v>
      </c>
      <c r="AY80" s="4" t="e">
        <f t="shared" ca="1" si="57"/>
        <v>#REF!</v>
      </c>
      <c r="AZ80" s="2"/>
    </row>
    <row r="81" spans="5:52" x14ac:dyDescent="0.2">
      <c r="N81" t="s">
        <v>301</v>
      </c>
      <c r="O81" s="2"/>
      <c r="P81" s="214" t="s">
        <v>108</v>
      </c>
      <c r="Q81" s="270">
        <v>574.72</v>
      </c>
      <c r="R81" s="169">
        <v>28.25</v>
      </c>
      <c r="S81" s="169">
        <v>28.25</v>
      </c>
      <c r="T81" s="364">
        <v>50</v>
      </c>
      <c r="U81" s="364">
        <v>50</v>
      </c>
      <c r="V81" s="490">
        <f>SUM($E55:$G55,$M55,$N55,$Q81:$R81,T81)</f>
        <v>3868.3599999999997</v>
      </c>
      <c r="W81" s="479" t="e">
        <f t="shared" si="47"/>
        <v>#REF!</v>
      </c>
      <c r="X81" s="469" t="e">
        <f>$Y$58 + IF($B$2="mil",1,0.0254)*DDR2Specs!$E$9</f>
        <v>#REF!</v>
      </c>
      <c r="Y81" s="492" t="e">
        <f>$X$58 + IF($B$2="mil",1,0.0254)*DDR2Specs!$F$9</f>
        <v>#REF!</v>
      </c>
      <c r="Z81" s="491" t="e">
        <f>IF($W81&lt;$X81,$X81-$W81,"Pass")</f>
        <v>#REF!</v>
      </c>
      <c r="AA81" s="492" t="e">
        <f>IF($W81&gt;$Y81,$W81-$Y81,"Pass")</f>
        <v>#REF!</v>
      </c>
      <c r="AB81" s="490">
        <f t="shared" si="48"/>
        <v>3868.3599999999997</v>
      </c>
      <c r="AC81" s="469" t="e">
        <f>$AB81+IF($B$2="mil",1,0.0254)*$C55</f>
        <v>#REF!</v>
      </c>
      <c r="AD81" s="469" t="e">
        <f>$AE$58 + IF($B$2="mil",1,0.0254)*DDR2Specs!$E$9</f>
        <v>#REF!</v>
      </c>
      <c r="AE81" s="469" t="e">
        <f>$AD$58 + IF($B$2="mil",1,0.0254)*DDR2Specs!$F$9</f>
        <v>#REF!</v>
      </c>
      <c r="AF81" s="491" t="e">
        <f>IF($AC81&lt;$AD81,$AD81-$AC81,"Pass")</f>
        <v>#REF!</v>
      </c>
      <c r="AG81" s="492" t="e">
        <f>IF($AC81&gt;$AE81,$AC81-$AE81,"Pass")</f>
        <v>#REF!</v>
      </c>
      <c r="AH81" s="2"/>
      <c r="AI81" s="2"/>
      <c r="AJ81" s="2"/>
      <c r="AK81" s="2"/>
      <c r="AL81" s="2"/>
      <c r="AM81" s="2"/>
      <c r="AN81" s="505" t="s">
        <v>108</v>
      </c>
      <c r="AO81" s="474" t="e">
        <f>IF($Q81&lt;=IF($B$2="mil",1,0.0254)*1000,"Pass",IF($B$2="mil",1,0.0254)*1000-$Q81)</f>
        <v>#REF!</v>
      </c>
      <c r="AQ81" s="473" t="e">
        <f>IF($R81&lt;=IF($B$2="mil",1,0.0254)*750,"Pass",IF($B$2="mil",1,0.0254)*750-$R81)</f>
        <v>#REF!</v>
      </c>
      <c r="AR81" s="473" t="e">
        <f>IF($S81&lt;=IF($B$2="mil",1,0.0254)*750,"Pass",IF($B$2="mil",1,0.0254)*750-$S81)</f>
        <v>#REF!</v>
      </c>
      <c r="AS81" s="473" t="e">
        <f t="shared" ca="1" si="59"/>
        <v>#NAME?</v>
      </c>
      <c r="AT81" s="473" t="e">
        <f t="shared" ca="1" si="59"/>
        <v>#NAME?</v>
      </c>
      <c r="AU81" s="473" t="e">
        <f>IF(AND(V81&gt;=IF($B$2="mil",1,0.0254)*500, $V81&lt;=IF($B$2="mil",1,0.0254)*6500),"Pass",IF($B$2="mil",1,0.0254)*6500-$V81)</f>
        <v>#REF!</v>
      </c>
      <c r="AV81" s="504" t="e">
        <f>IF(AND($W81&gt;=IF($B$2="mil",1,0.0254)*500, $W81&lt;=IF($B$2="mil",1,0.0254)*7000),"Pass",IF($B$2="mil",1,0.0254)*7000-$W81)</f>
        <v>#REF!</v>
      </c>
      <c r="AW81" s="473" t="e">
        <f>IF(AND($AB81&gt;=IF($B$2="mil",1,0.0254)*500, $AB81&lt;=IF($B$2="mil",1,0.0254)*6500),"Pass",IF($B$2="mil",1,0.0254)*6500-$AB81)</f>
        <v>#REF!</v>
      </c>
      <c r="AX81" s="474" t="e">
        <f>IF(AND($AC81&gt;=IF($B$2="mil",1,0.0254)*500, $AC81&lt;=IF($B$2="mil",1,0.0254)*7000),"Pass",IF($B$2="mil",1,0.0254)*7000-$AC81)</f>
        <v>#REF!</v>
      </c>
      <c r="AY81" s="4" t="e">
        <f t="shared" ca="1" si="57"/>
        <v>#REF!</v>
      </c>
      <c r="AZ81" s="2"/>
    </row>
    <row r="82" spans="5:52" ht="57" customHeight="1" x14ac:dyDescent="0.2">
      <c r="M82" s="367"/>
      <c r="N82" s="387" t="s">
        <v>635</v>
      </c>
      <c r="P82" s="289" t="s">
        <v>494</v>
      </c>
      <c r="Q82" s="123" t="e">
        <f>"Trace L7-3 ["&amp;$B$2&amp;"]"</f>
        <v>#REF!</v>
      </c>
      <c r="R82" s="123" t="e">
        <f>"Trace L8-5 to U3 ["&amp;$B$2&amp;"]"</f>
        <v>#REF!</v>
      </c>
      <c r="S82" s="123" t="e">
        <f>"Trace L8-6 to U7 ["&amp;$B$2&amp;"]"</f>
        <v>#REF!</v>
      </c>
      <c r="T82" s="123" t="e">
        <f>"Trace L9-5 to U3 ["&amp;$B$2&amp;"]"</f>
        <v>#REF!</v>
      </c>
      <c r="U82" s="123" t="e">
        <f>"Trace L9-6 to U7 ["&amp;$B$2&amp;"]"</f>
        <v>#REF!</v>
      </c>
      <c r="V82" s="495" t="e">
        <f>"Total MB Length to U3 (L0+L1+L2+L5+L6-2+L7-3+L8-5+L9-5) ["&amp;$B$2&amp;"]"</f>
        <v>#REF!</v>
      </c>
      <c r="W82" s="495" t="e">
        <f>"Total Pad to Pin U3 (P1+L0+L1+L2+L5+L6-2+L7-3+L8-5+L9-5) ["&amp;$B$2&amp;"]"</f>
        <v>#REF!</v>
      </c>
      <c r="X82" s="496" t="e">
        <f>"Target Min Length to U3
["&amp;$B$2&amp;"]"</f>
        <v>#REF!</v>
      </c>
      <c r="Y82" s="497" t="e">
        <f>"Target Max Length to U3 
["&amp;$B$2&amp;"]"</f>
        <v>#REF!</v>
      </c>
      <c r="Z82" s="498" t="e">
        <f>"Routed Too Short to U3 [" &amp;$B$2&amp;"]"</f>
        <v>#REF!</v>
      </c>
      <c r="AA82" s="496" t="e">
        <f>"Routed Too Long to U3 [" &amp;$B$2&amp;"]"</f>
        <v>#REF!</v>
      </c>
      <c r="AB82" s="495" t="e">
        <f>"Total MB Length to U7 (L0+L1+L2+L5+L6-2+L7-3+L8-6+L9-6) ["&amp;$B$2&amp;"]"</f>
        <v>#REF!</v>
      </c>
      <c r="AC82" s="495" t="e">
        <f>"Total Pad to Pin U7 (P1+L0+L1+L2+L5+L6-2+L7-3+L8-6+L9-6) ["&amp;$B$2&amp;"]"</f>
        <v>#REF!</v>
      </c>
      <c r="AD82" s="496" t="e">
        <f>"Target Min Length to U7
["&amp;$B$2&amp;"]"</f>
        <v>#REF!</v>
      </c>
      <c r="AE82" s="497" t="e">
        <f>"Target Max Length to U7 
["&amp;$B$2&amp;"]"</f>
        <v>#REF!</v>
      </c>
      <c r="AF82" s="498" t="e">
        <f>"Routed Too Short to U7 [" &amp;$B$2&amp;"]"</f>
        <v>#REF!</v>
      </c>
      <c r="AG82" s="496" t="e">
        <f>"Routed Too Long to U7 [" &amp;$B$2&amp;"]"</f>
        <v>#REF!</v>
      </c>
      <c r="AH82" s="2"/>
      <c r="AI82" s="2"/>
      <c r="AJ82" s="2"/>
      <c r="AK82" s="2"/>
      <c r="AL82" s="499" t="s">
        <v>494</v>
      </c>
      <c r="AM82" s="500" t="e">
        <f>"L6-2 Length Test (&lt;=" &amp; IF($B$2="mil",1,0.0254)*1000&amp;$B$2&amp;")"</f>
        <v>#REF!</v>
      </c>
      <c r="AN82" s="499" t="s">
        <v>494</v>
      </c>
      <c r="AO82" s="497" t="e">
        <f>"L7-3 Length Test (&lt;=" &amp; IF($B$2="mil",1,0.0254)*1000&amp;$B$2&amp;")"</f>
        <v>#REF!</v>
      </c>
      <c r="AQ82" s="500" t="e">
        <f>"L8-5 Length Test (&lt;=" &amp; IF($B$2="mil",1,0.0254)*750&amp;$B$2&amp;")"</f>
        <v>#REF!</v>
      </c>
      <c r="AR82" s="500" t="e">
        <f>"L8-6 Length Test (&lt;=" &amp; IF($B$2="mil",1,0.0254)*750&amp;$B$2&amp;")"</f>
        <v>#REF!</v>
      </c>
      <c r="AS82" s="500" t="e">
        <f>"L9-5 Length Test (&lt;=" &amp; IF($B$2="mil",1,0.0254)*200&amp;$B$2&amp;") or (L8-5+L9-5&lt;= "&amp;IF($B$2="mil",1,0.0254)*950&amp;$B$2&amp;")"</f>
        <v>#REF!</v>
      </c>
      <c r="AT82" s="500" t="e">
        <f>"L9-6 Length Test (&lt;=" &amp; IF($B$2="mil",1,0.0254)*200&amp;$B$2&amp;") or (L8-6+L9-6&lt;= "&amp;IF($B$2="mil",1,0.0254)*950&amp;$B$2&amp;")"</f>
        <v>#REF!</v>
      </c>
      <c r="AU82" s="497" t="e">
        <f>"Total Length to U3 (L0+L1+L2+L5+L6-2+L7-3+L8-5+L9-5) Test
 ("&amp;IF($B$2="mil",1,0.0254)*500&amp;"-"&amp;IF($B$2="mil",1,0.0254)*6500&amp;IF($B$2="mil","mil","mm")&amp;")"</f>
        <v>#REF!</v>
      </c>
      <c r="AV82" s="497" t="e">
        <f>"Total Length to U3 (P1+L0+L1+L2+L5+L6-2+L7-3+L8-5+L9-5) Test
 (&lt;="&amp;IF($B$2="mil",1,25.4)*7000&amp;IF($B$2="mil","mil","mm")&amp;")"</f>
        <v>#REF!</v>
      </c>
      <c r="AW82" s="497" t="e">
        <f>"Total Length to U7 (L0+L1+L2+L5+L6-2+L7-3+L8-6+L9-6) Test
 ("&amp;IF($B$2="mil",1,0.0254)*500&amp;"-"&amp;IF($B$2="mil",1,0.0254)*6500&amp;IF($B$2="mil","mil","mm")&amp;")"</f>
        <v>#REF!</v>
      </c>
      <c r="AX82" s="497" t="e">
        <f>"Total Length to U7 (P1+L0+L1+L2+L5+L6-2+L7-3+L8-6+L9-6) Test
 (&lt;="&amp;IF($B$2="mil",1,25.4)*7000&amp;IF($B$2="mil","mil","mm")&amp;")"</f>
        <v>#REF!</v>
      </c>
      <c r="AY82" s="2"/>
      <c r="AZ82" s="2"/>
    </row>
    <row r="83" spans="5:52" x14ac:dyDescent="0.2">
      <c r="P83" s="134" t="s">
        <v>258</v>
      </c>
      <c r="Q83" s="135"/>
      <c r="R83" s="135"/>
      <c r="S83" s="135"/>
      <c r="T83" s="135"/>
      <c r="U83" s="135"/>
      <c r="V83" s="135"/>
      <c r="W83" s="135"/>
      <c r="X83" s="135"/>
      <c r="Y83" s="385"/>
      <c r="Z83" s="135"/>
      <c r="AA83" s="135"/>
      <c r="AB83" s="135"/>
      <c r="AC83" s="135"/>
      <c r="AD83" s="135"/>
      <c r="AE83" s="135"/>
      <c r="AF83" s="135"/>
      <c r="AG83" s="135"/>
      <c r="AH83" s="2"/>
      <c r="AI83" s="2"/>
      <c r="AJ83" s="2"/>
      <c r="AK83" s="2"/>
      <c r="AL83" s="134" t="s">
        <v>258</v>
      </c>
      <c r="AM83" s="135"/>
      <c r="AN83" s="134" t="s">
        <v>258</v>
      </c>
      <c r="AO83" s="501"/>
      <c r="AQ83" s="135"/>
      <c r="AR83" s="135"/>
      <c r="AS83" s="135"/>
      <c r="AT83" s="135"/>
      <c r="AU83" s="135"/>
      <c r="AV83" s="137"/>
      <c r="AW83" s="135"/>
      <c r="AX83" s="137"/>
      <c r="AY83" s="2"/>
      <c r="AZ83" s="2"/>
    </row>
    <row r="84" spans="5:52" x14ac:dyDescent="0.2">
      <c r="N84" t="s">
        <v>302</v>
      </c>
      <c r="P84" s="235" t="s">
        <v>262</v>
      </c>
      <c r="Q84" s="143"/>
      <c r="R84" s="143"/>
      <c r="S84" s="143"/>
      <c r="T84" s="143"/>
      <c r="U84" s="143"/>
      <c r="V84" s="143"/>
      <c r="W84" s="502" t="s">
        <v>274</v>
      </c>
      <c r="X84" s="487" t="e">
        <f>MIN('DDR2 Clocks - 4L'!$O$13:$O$14)</f>
        <v>#REF!</v>
      </c>
      <c r="Y84" s="484" t="e">
        <f>MAX('DDR2 Clocks - 4L'!$O$13:$O$14)</f>
        <v>#REF!</v>
      </c>
      <c r="Z84" s="487"/>
      <c r="AA84" s="145"/>
      <c r="AB84" s="143"/>
      <c r="AC84" s="502" t="s">
        <v>334</v>
      </c>
      <c r="AD84" s="487" t="e">
        <f>MIN('DDR2 Clocks - 4L'!$O$15:$O$16)</f>
        <v>#REF!</v>
      </c>
      <c r="AE84" s="486" t="e">
        <f>MAX('DDR2 Clocks - 4L'!$O$15:$O$16)</f>
        <v>#REF!</v>
      </c>
      <c r="AF84" s="487"/>
      <c r="AG84" s="145"/>
      <c r="AH84" s="2"/>
      <c r="AI84" s="2"/>
      <c r="AJ84" s="2"/>
      <c r="AK84" s="2"/>
      <c r="AL84" s="140" t="s">
        <v>262</v>
      </c>
      <c r="AM84" s="483"/>
      <c r="AN84" s="140" t="s">
        <v>262</v>
      </c>
      <c r="AO84" s="484"/>
      <c r="AQ84" s="483"/>
      <c r="AR84" s="483"/>
      <c r="AS84" s="483"/>
      <c r="AT84" s="483"/>
      <c r="AU84" s="483"/>
      <c r="AV84" s="484"/>
      <c r="AW84" s="483"/>
      <c r="AX84" s="484"/>
      <c r="AY84" s="2"/>
      <c r="AZ84" s="2"/>
    </row>
    <row r="85" spans="5:52" x14ac:dyDescent="0.2">
      <c r="P85" s="180" t="s">
        <v>277</v>
      </c>
      <c r="Q85" s="157"/>
      <c r="R85" s="157"/>
      <c r="S85" s="157"/>
      <c r="T85" s="157"/>
      <c r="U85" s="157"/>
      <c r="V85" s="157"/>
      <c r="W85" s="157"/>
      <c r="X85" s="155"/>
      <c r="Y85" s="514"/>
      <c r="Z85" s="476"/>
      <c r="AA85" s="155"/>
      <c r="AB85" s="157"/>
      <c r="AC85" s="157"/>
      <c r="AD85" s="155"/>
      <c r="AE85" s="476"/>
      <c r="AF85" s="476"/>
      <c r="AG85" s="155"/>
      <c r="AH85" s="2"/>
      <c r="AI85" s="2"/>
      <c r="AJ85" s="2"/>
      <c r="AK85" s="2"/>
      <c r="AL85" s="134" t="s">
        <v>277</v>
      </c>
      <c r="AM85" s="155"/>
      <c r="AN85" s="134" t="s">
        <v>277</v>
      </c>
      <c r="AO85" s="478"/>
      <c r="AQ85" s="155"/>
      <c r="AR85" s="155"/>
      <c r="AS85" s="155"/>
      <c r="AT85" s="155"/>
      <c r="AU85" s="155"/>
      <c r="AV85" s="244"/>
      <c r="AW85" s="155"/>
      <c r="AX85" s="244"/>
      <c r="AY85" s="2"/>
      <c r="AZ85" s="2"/>
    </row>
    <row r="86" spans="5:52" x14ac:dyDescent="0.2">
      <c r="P86" s="214" t="s">
        <v>244</v>
      </c>
      <c r="Q86" s="270">
        <v>565.69000000000005</v>
      </c>
      <c r="R86" s="364">
        <v>350</v>
      </c>
      <c r="S86" s="364">
        <v>400</v>
      </c>
      <c r="T86" s="364">
        <v>50</v>
      </c>
      <c r="U86" s="364">
        <v>50</v>
      </c>
      <c r="V86" s="490">
        <f>SUM($E34:$G34,$M34,$P34,$Q86:$R86,$T86)</f>
        <v>4359.7299999999996</v>
      </c>
      <c r="W86" s="479" t="e">
        <f>$V86+IF($B$2="mil",1,0.0254)*$C34</f>
        <v>#REF!</v>
      </c>
      <c r="X86" s="469" t="e">
        <f>$Y$84 + IF($B$2="mil",1,0.0254)*DDR2Specs!$E$9</f>
        <v>#REF!</v>
      </c>
      <c r="Y86" s="492" t="e">
        <f>$X$84 + IF($B$2="mil",1,0.0254)*DDR2Specs!$F$9</f>
        <v>#REF!</v>
      </c>
      <c r="Z86" s="491" t="e">
        <f t="shared" ref="Z86:Z99" si="60">IF($W86&lt;$X86,$X86-$W86,"Pass")</f>
        <v>#REF!</v>
      </c>
      <c r="AA86" s="492" t="e">
        <f t="shared" ref="AA86:AA99" si="61">IF($W86&gt;$Y86,$W86-$Y86,"Pass")</f>
        <v>#REF!</v>
      </c>
      <c r="AB86" s="490">
        <f>SUM($E34:$G34,$M34,$P34,$Q86,$S86,$U86)</f>
        <v>4409.7299999999996</v>
      </c>
      <c r="AC86" s="479" t="e">
        <f>$AB86+IF($B$2="mil",1,0.0254)*$C34</f>
        <v>#REF!</v>
      </c>
      <c r="AD86" s="469" t="e">
        <f>$AE$84 + IF($B$2="mil",1,0.0254)*DDR2Specs!$E$9</f>
        <v>#REF!</v>
      </c>
      <c r="AE86" s="469" t="e">
        <f>$AD$84 + IF($B$2="mil",1,0.0254)*DDR2Specs!$F$9</f>
        <v>#REF!</v>
      </c>
      <c r="AF86" s="491" t="e">
        <f t="shared" ref="AF86:AF99" si="62">IF($AC86&lt;$AD86,$AD86-$AC86,"Pass")</f>
        <v>#REF!</v>
      </c>
      <c r="AG86" s="492" t="e">
        <f t="shared" ref="AG86:AG99" si="63">IF($AC86&gt;$AE86,$AC86-$AE86,"Pass")</f>
        <v>#REF!</v>
      </c>
      <c r="AH86" s="2"/>
      <c r="AI86" s="2"/>
      <c r="AJ86" s="2"/>
      <c r="AK86" s="2"/>
      <c r="AL86" s="509" t="s">
        <v>244</v>
      </c>
      <c r="AM86" s="504" t="e">
        <f>IF(P34&lt;=IF($B$2="mil",1,0.0254)*1000,"Pass",IF($B$2="mil",1,0.0254)*1000-P34)</f>
        <v>#REF!</v>
      </c>
      <c r="AN86" s="503" t="s">
        <v>244</v>
      </c>
      <c r="AO86" s="474" t="e">
        <f>IF($Q86&lt;=IF($B$2="mil",1,0.0254)*1000,"Pass",IF($B$2="mil",1,0.0254)*1000-$Q86)</f>
        <v>#REF!</v>
      </c>
      <c r="AQ86" s="473" t="e">
        <f t="shared" ref="AQ86:AQ99" si="64">IF($R86&lt;=IF($B$2="mil",1,0.0254)*750,"Pass",IF($B$2="mil",1,0.0254)*750-$R86)</f>
        <v>#REF!</v>
      </c>
      <c r="AR86" s="473" t="e">
        <f t="shared" ref="AR86:AR99" si="65">IF($S86&lt;=IF($B$2="mil",1,0.0254)*750,"Pass",IF($B$2="mil",1,0.0254)*750-$S86)</f>
        <v>#REF!</v>
      </c>
      <c r="AS86" s="473" t="e">
        <f ca="1">CheckLength2(IF($B$2="mil",1,0.0254)*950,R86,T86,0)</f>
        <v>#NAME?</v>
      </c>
      <c r="AT86" s="473" t="e">
        <f ca="1">CheckLength2(IF($B$2="mil",1,0.0254)*950,S86,U86,0)</f>
        <v>#NAME?</v>
      </c>
      <c r="AU86" s="473" t="e">
        <f>IF(AND(V86&gt;=IF($B$2="mil",1,0.0254)*500, $V86&lt;=IF($B$2="mil",1,0.0254)*6500),"Pass",IF($B$2="mil",1,0.0254)*6500-$V86)</f>
        <v>#REF!</v>
      </c>
      <c r="AV86" s="504" t="e">
        <f>IF(AND($W86&gt;=IF($B$2="mil",1,0.0254)*500, $W86&lt;=IF($B$2="mil",1,0.0254)*7000),"Pass",IF($B$2="mil",1,0.0254)*7000-$W86)</f>
        <v>#REF!</v>
      </c>
      <c r="AW86" s="473" t="e">
        <f>IF(AND($AB86&gt;=IF($B$2="mil",1,0.0254)*500, $AB86&lt;=IF($B$2="mil",1,0.0254)*6500),"Pass",IF($B$2="mil",1,0.0254)*6500-$AB86)</f>
        <v>#REF!</v>
      </c>
      <c r="AX86" s="474" t="e">
        <f>IF(AND($AC86&gt;=IF($B$2="mil",1,0.0254)*500, $AC86&lt;=IF($B$2="mil",1,0.0254)*7000),"Pass",IF($B$2="mil",1,0.0254)*7000-$AC86)</f>
        <v>#REF!</v>
      </c>
      <c r="AY86" s="4" t="e">
        <f ca="1">IF(AND(Z86="Pass",AA86="Pass",AF86="Pass",AG86="Pass",AM86="Pass",AO86="Pass",AQ86="Pass",AR86="Pass",AS86="Pass",AT86="Pass",AU86="Pass",AV86="Pass",AW86="Pass",AX86="Pass"),"Pass","Fail")</f>
        <v>#REF!</v>
      </c>
      <c r="AZ86" s="4" t="e">
        <f ca="1">IF(AND(AY86="Pass",AY87="Pass",AY88="Pass",AY89="Pass",AY90="Pass",AY91="Pass",AY92="Pass",AY93="Pass",AY94="Pass",AY95="Pass",AY96="Pass"),"Pass","Fail")</f>
        <v>#REF!</v>
      </c>
    </row>
    <row r="87" spans="5:52" x14ac:dyDescent="0.2">
      <c r="P87" s="214" t="s">
        <v>87</v>
      </c>
      <c r="Q87" s="270">
        <v>587.88</v>
      </c>
      <c r="R87" s="364">
        <v>310</v>
      </c>
      <c r="S87" s="364">
        <v>400</v>
      </c>
      <c r="T87" s="364">
        <v>50</v>
      </c>
      <c r="U87" s="364">
        <v>50</v>
      </c>
      <c r="V87" s="490">
        <f t="shared" ref="V87:V107" si="66">SUM($E35:$G35,$M35,$P35,$Q87:$R87,$T87)</f>
        <v>4179.49</v>
      </c>
      <c r="W87" s="479" t="e">
        <f t="shared" ref="W87:W99" si="67">$V87+IF($B$2="mil",1,0.0254)*$C35</f>
        <v>#REF!</v>
      </c>
      <c r="X87" s="469" t="e">
        <f>$Y$84 + IF($B$2="mil",1,0.0254)*DDR2Specs!$E$9</f>
        <v>#REF!</v>
      </c>
      <c r="Y87" s="492" t="e">
        <f>$X$84 + IF($B$2="mil",1,0.0254)*DDR2Specs!$F$9</f>
        <v>#REF!</v>
      </c>
      <c r="Z87" s="491" t="e">
        <f t="shared" si="60"/>
        <v>#REF!</v>
      </c>
      <c r="AA87" s="492" t="e">
        <f t="shared" si="61"/>
        <v>#REF!</v>
      </c>
      <c r="AB87" s="490">
        <f t="shared" ref="AB87:AB107" si="68">SUM($E35:$G35,$M35,$P35,$Q87,$S87,$U87)</f>
        <v>4269.49</v>
      </c>
      <c r="AC87" s="479" t="e">
        <f t="shared" ref="AC87:AC99" si="69">$AB87+IF($B$2="mil",1,0.0254)*$C35</f>
        <v>#REF!</v>
      </c>
      <c r="AD87" s="469" t="e">
        <f>$AE$84 + IF($B$2="mil",1,0.0254)*DDR2Specs!$E$9</f>
        <v>#REF!</v>
      </c>
      <c r="AE87" s="469" t="e">
        <f>$AD$84 + IF($B$2="mil",1,0.0254)*DDR2Specs!$F$9</f>
        <v>#REF!</v>
      </c>
      <c r="AF87" s="491" t="e">
        <f t="shared" si="62"/>
        <v>#REF!</v>
      </c>
      <c r="AG87" s="492" t="e">
        <f t="shared" si="63"/>
        <v>#REF!</v>
      </c>
      <c r="AH87" s="2"/>
      <c r="AI87" s="2"/>
      <c r="AJ87" s="2"/>
      <c r="AK87" s="2"/>
      <c r="AL87" s="510" t="s">
        <v>87</v>
      </c>
      <c r="AM87" s="504" t="e">
        <f t="shared" ref="AM87:AM99" si="70">IF(P35&lt;=IF($B$2="mil",1,0.0254)*1000,"Pass",IF($B$2="mil",1,0.0254)*1000-P35)</f>
        <v>#REF!</v>
      </c>
      <c r="AN87" s="505" t="s">
        <v>87</v>
      </c>
      <c r="AO87" s="474" t="e">
        <f t="shared" ref="AO87:AO99" si="71">IF($Q87&lt;=IF($B$2="mil",1,0.0254)*1000,"Pass",IF($B$2="mil",1,0.0254)*1000-$Q87)</f>
        <v>#REF!</v>
      </c>
      <c r="AQ87" s="473" t="e">
        <f t="shared" si="64"/>
        <v>#REF!</v>
      </c>
      <c r="AR87" s="473" t="e">
        <f t="shared" si="65"/>
        <v>#REF!</v>
      </c>
      <c r="AS87" s="473" t="e">
        <f t="shared" ref="AS87:AS99" ca="1" si="72">CheckLength2(IF($B$2="mil",1,0.0254)*950,R87,T87,0)</f>
        <v>#NAME?</v>
      </c>
      <c r="AT87" s="473" t="e">
        <f t="shared" ref="AT87:AT99" ca="1" si="73">CheckLength2(IF($B$2="mil",1,0.0254)*950,S87,U87,0)</f>
        <v>#NAME?</v>
      </c>
      <c r="AU87" s="473" t="e">
        <f t="shared" ref="AU87:AU99" si="74">IF(AND(V87&gt;=IF($B$2="mil",1,0.0254)*500, $V87&lt;=IF($B$2="mil",1,0.0254)*6500),"Pass",IF($B$2="mil",1,0.0254)*6500-$V87)</f>
        <v>#REF!</v>
      </c>
      <c r="AV87" s="504" t="e">
        <f t="shared" ref="AV87:AV99" si="75">IF(AND($W87&gt;=IF($B$2="mil",1,0.0254)*500, $W87&lt;=IF($B$2="mil",1,0.0254)*7000),"Pass",IF($B$2="mil",1,0.0254)*7000-$W87)</f>
        <v>#REF!</v>
      </c>
      <c r="AW87" s="473" t="e">
        <f t="shared" ref="AW87:AW99" si="76">IF(AND($AB87&gt;=IF($B$2="mil",1,0.0254)*500, $AB87&lt;=IF($B$2="mil",1,0.0254)*6500),"Pass",IF($B$2="mil",1,0.0254)*6500-$AB87)</f>
        <v>#REF!</v>
      </c>
      <c r="AX87" s="474" t="e">
        <f t="shared" ref="AX87:AX99" si="77">IF(AND($AC87&gt;=IF($B$2="mil",1,0.0254)*500, $AC87&lt;=IF($B$2="mil",1,0.0254)*7000),"Pass",IF($B$2="mil",1,0.0254)*7000-$AC87)</f>
        <v>#REF!</v>
      </c>
      <c r="AY87" s="4" t="e">
        <f t="shared" ref="AY87:AY107" ca="1" si="78">IF(AND(Z87="Pass",AA87="Pass",AF87="Pass",AG87="Pass",AM87="Pass",AO87="Pass",AQ87="Pass",AR87="Pass",AS87="Pass",AT87="Pass",AU87="Pass",AV87="Pass",AW87="Pass",AX87="Pass"),"Pass","Fail")</f>
        <v>#REF!</v>
      </c>
      <c r="AZ87" s="4" t="e">
        <f ca="1">IF(AND(AY97="Pass",AY98="Pass",AY99="Pass",AY101="Pass",AY102="Pass",AY103="Pass",AY105="Pass",AY106="Pass",AY107="Pass"),"Pass","Fail")</f>
        <v>#REF!</v>
      </c>
    </row>
    <row r="88" spans="5:52" x14ac:dyDescent="0.2">
      <c r="P88" s="214" t="s">
        <v>88</v>
      </c>
      <c r="Q88" s="270">
        <v>565.69000000000005</v>
      </c>
      <c r="R88" s="364">
        <v>112.45</v>
      </c>
      <c r="S88" s="364">
        <v>400</v>
      </c>
      <c r="T88" s="364">
        <v>50</v>
      </c>
      <c r="U88" s="364">
        <v>50</v>
      </c>
      <c r="V88" s="490">
        <f t="shared" si="66"/>
        <v>4657.8399999999992</v>
      </c>
      <c r="W88" s="479" t="e">
        <f t="shared" si="67"/>
        <v>#REF!</v>
      </c>
      <c r="X88" s="469" t="e">
        <f>$Y$84 + IF($B$2="mil",1,0.0254)*DDR2Specs!$E$9</f>
        <v>#REF!</v>
      </c>
      <c r="Y88" s="492" t="e">
        <f>$X$84 + IF($B$2="mil",1,0.0254)*DDR2Specs!$F$9</f>
        <v>#REF!</v>
      </c>
      <c r="Z88" s="491" t="e">
        <f t="shared" si="60"/>
        <v>#REF!</v>
      </c>
      <c r="AA88" s="492" t="e">
        <f t="shared" si="61"/>
        <v>#REF!</v>
      </c>
      <c r="AB88" s="490">
        <f t="shared" si="68"/>
        <v>4945.3899999999994</v>
      </c>
      <c r="AC88" s="479" t="e">
        <f t="shared" si="69"/>
        <v>#REF!</v>
      </c>
      <c r="AD88" s="469" t="e">
        <f>$AE$84 + IF($B$2="mil",1,0.0254)*DDR2Specs!$E$9</f>
        <v>#REF!</v>
      </c>
      <c r="AE88" s="469" t="e">
        <f>$AD$84 + IF($B$2="mil",1,0.0254)*DDR2Specs!$F$9</f>
        <v>#REF!</v>
      </c>
      <c r="AF88" s="491" t="e">
        <f t="shared" si="62"/>
        <v>#REF!</v>
      </c>
      <c r="AG88" s="492" t="e">
        <f t="shared" si="63"/>
        <v>#REF!</v>
      </c>
      <c r="AH88" s="2"/>
      <c r="AI88" s="2"/>
      <c r="AJ88" s="2"/>
      <c r="AK88" s="2"/>
      <c r="AL88" s="510" t="s">
        <v>88</v>
      </c>
      <c r="AM88" s="504" t="e">
        <f t="shared" si="70"/>
        <v>#REF!</v>
      </c>
      <c r="AN88" s="505" t="s">
        <v>88</v>
      </c>
      <c r="AO88" s="474" t="e">
        <f t="shared" si="71"/>
        <v>#REF!</v>
      </c>
      <c r="AQ88" s="473" t="e">
        <f t="shared" si="64"/>
        <v>#REF!</v>
      </c>
      <c r="AR88" s="473" t="e">
        <f t="shared" si="65"/>
        <v>#REF!</v>
      </c>
      <c r="AS88" s="473" t="e">
        <f t="shared" ca="1" si="72"/>
        <v>#NAME?</v>
      </c>
      <c r="AT88" s="473" t="e">
        <f t="shared" ca="1" si="73"/>
        <v>#NAME?</v>
      </c>
      <c r="AU88" s="473" t="e">
        <f t="shared" si="74"/>
        <v>#REF!</v>
      </c>
      <c r="AV88" s="504" t="e">
        <f t="shared" si="75"/>
        <v>#REF!</v>
      </c>
      <c r="AW88" s="473" t="e">
        <f t="shared" si="76"/>
        <v>#REF!</v>
      </c>
      <c r="AX88" s="474" t="e">
        <f t="shared" si="77"/>
        <v>#REF!</v>
      </c>
      <c r="AY88" s="4" t="e">
        <f t="shared" ca="1" si="78"/>
        <v>#REF!</v>
      </c>
      <c r="AZ88" s="2"/>
    </row>
    <row r="89" spans="5:52" x14ac:dyDescent="0.2">
      <c r="P89" s="214" t="s">
        <v>89</v>
      </c>
      <c r="Q89" s="270">
        <v>579.26</v>
      </c>
      <c r="R89" s="364">
        <v>500</v>
      </c>
      <c r="S89" s="364">
        <v>460</v>
      </c>
      <c r="T89" s="364">
        <v>50</v>
      </c>
      <c r="U89" s="364">
        <v>50</v>
      </c>
      <c r="V89" s="490">
        <f t="shared" si="66"/>
        <v>4318.07</v>
      </c>
      <c r="W89" s="479" t="e">
        <f t="shared" si="67"/>
        <v>#REF!</v>
      </c>
      <c r="X89" s="469" t="e">
        <f>$Y$84 + IF($B$2="mil",1,0.0254)*DDR2Specs!$E$9</f>
        <v>#REF!</v>
      </c>
      <c r="Y89" s="492" t="e">
        <f>$X$84 + IF($B$2="mil",1,0.0254)*DDR2Specs!$F$9</f>
        <v>#REF!</v>
      </c>
      <c r="Z89" s="491" t="e">
        <f t="shared" si="60"/>
        <v>#REF!</v>
      </c>
      <c r="AA89" s="492" t="e">
        <f t="shared" si="61"/>
        <v>#REF!</v>
      </c>
      <c r="AB89" s="490">
        <f t="shared" si="68"/>
        <v>4278.07</v>
      </c>
      <c r="AC89" s="479" t="e">
        <f t="shared" si="69"/>
        <v>#REF!</v>
      </c>
      <c r="AD89" s="469" t="e">
        <f>$AE$84 + IF($B$2="mil",1,0.0254)*DDR2Specs!$E$9</f>
        <v>#REF!</v>
      </c>
      <c r="AE89" s="469" t="e">
        <f>$AD$84 + IF($B$2="mil",1,0.0254)*DDR2Specs!$F$9</f>
        <v>#REF!</v>
      </c>
      <c r="AF89" s="491" t="e">
        <f t="shared" si="62"/>
        <v>#REF!</v>
      </c>
      <c r="AG89" s="492" t="e">
        <f t="shared" si="63"/>
        <v>#REF!</v>
      </c>
      <c r="AH89" s="2"/>
      <c r="AI89" s="2"/>
      <c r="AJ89" s="2"/>
      <c r="AK89" s="2"/>
      <c r="AL89" s="510" t="s">
        <v>89</v>
      </c>
      <c r="AM89" s="504" t="e">
        <f t="shared" si="70"/>
        <v>#REF!</v>
      </c>
      <c r="AN89" s="505" t="s">
        <v>89</v>
      </c>
      <c r="AO89" s="474" t="e">
        <f t="shared" si="71"/>
        <v>#REF!</v>
      </c>
      <c r="AQ89" s="473" t="e">
        <f t="shared" si="64"/>
        <v>#REF!</v>
      </c>
      <c r="AR89" s="473" t="e">
        <f t="shared" si="65"/>
        <v>#REF!</v>
      </c>
      <c r="AS89" s="473" t="e">
        <f t="shared" ca="1" si="72"/>
        <v>#NAME?</v>
      </c>
      <c r="AT89" s="473" t="e">
        <f t="shared" ca="1" si="73"/>
        <v>#NAME?</v>
      </c>
      <c r="AU89" s="473" t="e">
        <f t="shared" si="74"/>
        <v>#REF!</v>
      </c>
      <c r="AV89" s="504" t="e">
        <f t="shared" si="75"/>
        <v>#REF!</v>
      </c>
      <c r="AW89" s="473" t="e">
        <f t="shared" si="76"/>
        <v>#REF!</v>
      </c>
      <c r="AX89" s="474" t="e">
        <f t="shared" si="77"/>
        <v>#REF!</v>
      </c>
      <c r="AY89" s="4" t="e">
        <f t="shared" ca="1" si="78"/>
        <v>#REF!</v>
      </c>
      <c r="AZ89" s="2"/>
    </row>
    <row r="90" spans="5:52" x14ac:dyDescent="0.2">
      <c r="P90" s="214" t="s">
        <v>90</v>
      </c>
      <c r="Q90" s="270">
        <v>624.74</v>
      </c>
      <c r="R90" s="364">
        <v>70.48</v>
      </c>
      <c r="S90" s="364">
        <v>400</v>
      </c>
      <c r="T90" s="364">
        <v>50</v>
      </c>
      <c r="U90" s="364">
        <v>50</v>
      </c>
      <c r="V90" s="490">
        <f t="shared" si="66"/>
        <v>4974.9199999999992</v>
      </c>
      <c r="W90" s="479" t="e">
        <f t="shared" si="67"/>
        <v>#REF!</v>
      </c>
      <c r="X90" s="469" t="e">
        <f>$Y$84 + IF($B$2="mil",1,0.0254)*DDR2Specs!$E$9</f>
        <v>#REF!</v>
      </c>
      <c r="Y90" s="492" t="e">
        <f>$X$84 + IF($B$2="mil",1,0.0254)*DDR2Specs!$F$9</f>
        <v>#REF!</v>
      </c>
      <c r="Z90" s="491" t="e">
        <f t="shared" si="60"/>
        <v>#REF!</v>
      </c>
      <c r="AA90" s="492" t="e">
        <f t="shared" si="61"/>
        <v>#REF!</v>
      </c>
      <c r="AB90" s="490">
        <f t="shared" si="68"/>
        <v>5304.44</v>
      </c>
      <c r="AC90" s="479" t="e">
        <f t="shared" si="69"/>
        <v>#REF!</v>
      </c>
      <c r="AD90" s="469" t="e">
        <f>$AE$84 + IF($B$2="mil",1,0.0254)*DDR2Specs!$E$9</f>
        <v>#REF!</v>
      </c>
      <c r="AE90" s="469" t="e">
        <f>$AD$84 + IF($B$2="mil",1,0.0254)*DDR2Specs!$F$9</f>
        <v>#REF!</v>
      </c>
      <c r="AF90" s="491" t="e">
        <f t="shared" si="62"/>
        <v>#REF!</v>
      </c>
      <c r="AG90" s="492" t="e">
        <f t="shared" si="63"/>
        <v>#REF!</v>
      </c>
      <c r="AH90" s="2"/>
      <c r="AI90" s="2"/>
      <c r="AJ90" s="2"/>
      <c r="AK90" s="2"/>
      <c r="AL90" s="510" t="s">
        <v>90</v>
      </c>
      <c r="AM90" s="504" t="e">
        <f t="shared" si="70"/>
        <v>#REF!</v>
      </c>
      <c r="AN90" s="505" t="s">
        <v>90</v>
      </c>
      <c r="AO90" s="474" t="e">
        <f t="shared" si="71"/>
        <v>#REF!</v>
      </c>
      <c r="AQ90" s="473" t="e">
        <f t="shared" si="64"/>
        <v>#REF!</v>
      </c>
      <c r="AR90" s="473" t="e">
        <f t="shared" si="65"/>
        <v>#REF!</v>
      </c>
      <c r="AS90" s="473" t="e">
        <f t="shared" ca="1" si="72"/>
        <v>#NAME?</v>
      </c>
      <c r="AT90" s="473" t="e">
        <f t="shared" ca="1" si="73"/>
        <v>#NAME?</v>
      </c>
      <c r="AU90" s="473" t="e">
        <f t="shared" si="74"/>
        <v>#REF!</v>
      </c>
      <c r="AV90" s="504" t="e">
        <f t="shared" si="75"/>
        <v>#REF!</v>
      </c>
      <c r="AW90" s="473" t="e">
        <f t="shared" si="76"/>
        <v>#REF!</v>
      </c>
      <c r="AX90" s="474" t="e">
        <f t="shared" si="77"/>
        <v>#REF!</v>
      </c>
      <c r="AY90" s="4" t="e">
        <f t="shared" ca="1" si="78"/>
        <v>#REF!</v>
      </c>
      <c r="AZ90" s="2"/>
    </row>
    <row r="91" spans="5:52" x14ac:dyDescent="0.2">
      <c r="F91" t="s">
        <v>324</v>
      </c>
      <c r="G91" t="s">
        <v>324</v>
      </c>
      <c r="P91" s="214" t="s">
        <v>91</v>
      </c>
      <c r="Q91" s="270">
        <v>610.85</v>
      </c>
      <c r="R91" s="364">
        <v>400</v>
      </c>
      <c r="S91" s="364">
        <v>400</v>
      </c>
      <c r="T91" s="364">
        <v>50</v>
      </c>
      <c r="U91" s="364">
        <v>50</v>
      </c>
      <c r="V91" s="490">
        <f t="shared" si="66"/>
        <v>4301.92</v>
      </c>
      <c r="W91" s="479" t="e">
        <f t="shared" si="67"/>
        <v>#REF!</v>
      </c>
      <c r="X91" s="469" t="e">
        <f>$Y$84 + IF($B$2="mil",1,0.0254)*DDR2Specs!$E$9</f>
        <v>#REF!</v>
      </c>
      <c r="Y91" s="492" t="e">
        <f>$X$84 + IF($B$2="mil",1,0.0254)*DDR2Specs!$F$9</f>
        <v>#REF!</v>
      </c>
      <c r="Z91" s="491" t="e">
        <f t="shared" si="60"/>
        <v>#REF!</v>
      </c>
      <c r="AA91" s="492" t="e">
        <f t="shared" si="61"/>
        <v>#REF!</v>
      </c>
      <c r="AB91" s="490">
        <f t="shared" si="68"/>
        <v>4301.92</v>
      </c>
      <c r="AC91" s="479" t="e">
        <f t="shared" si="69"/>
        <v>#REF!</v>
      </c>
      <c r="AD91" s="469" t="e">
        <f>$AE$84 + IF($B$2="mil",1,0.0254)*DDR2Specs!$E$9</f>
        <v>#REF!</v>
      </c>
      <c r="AE91" s="469" t="e">
        <f>$AD$84 + IF($B$2="mil",1,0.0254)*DDR2Specs!$F$9</f>
        <v>#REF!</v>
      </c>
      <c r="AF91" s="491" t="e">
        <f t="shared" si="62"/>
        <v>#REF!</v>
      </c>
      <c r="AG91" s="492" t="e">
        <f t="shared" si="63"/>
        <v>#REF!</v>
      </c>
      <c r="AH91" s="2"/>
      <c r="AI91" s="2"/>
      <c r="AJ91" s="2"/>
      <c r="AK91" s="2"/>
      <c r="AL91" s="510" t="s">
        <v>91</v>
      </c>
      <c r="AM91" s="504" t="e">
        <f t="shared" si="70"/>
        <v>#REF!</v>
      </c>
      <c r="AN91" s="505" t="s">
        <v>91</v>
      </c>
      <c r="AO91" s="474" t="e">
        <f t="shared" si="71"/>
        <v>#REF!</v>
      </c>
      <c r="AQ91" s="473" t="e">
        <f t="shared" si="64"/>
        <v>#REF!</v>
      </c>
      <c r="AR91" s="473" t="e">
        <f t="shared" si="65"/>
        <v>#REF!</v>
      </c>
      <c r="AS91" s="473" t="e">
        <f t="shared" ca="1" si="72"/>
        <v>#NAME?</v>
      </c>
      <c r="AT91" s="473" t="e">
        <f t="shared" ca="1" si="73"/>
        <v>#NAME?</v>
      </c>
      <c r="AU91" s="473" t="e">
        <f t="shared" si="74"/>
        <v>#REF!</v>
      </c>
      <c r="AV91" s="504" t="e">
        <f t="shared" si="75"/>
        <v>#REF!</v>
      </c>
      <c r="AW91" s="473" t="e">
        <f t="shared" si="76"/>
        <v>#REF!</v>
      </c>
      <c r="AX91" s="474" t="e">
        <f t="shared" si="77"/>
        <v>#REF!</v>
      </c>
      <c r="AY91" s="4" t="e">
        <f t="shared" ca="1" si="78"/>
        <v>#REF!</v>
      </c>
      <c r="AZ91" s="2"/>
    </row>
    <row r="92" spans="5:52" x14ac:dyDescent="0.2">
      <c r="E92" s="334" t="s">
        <v>329</v>
      </c>
      <c r="F92" s="334" t="s">
        <v>293</v>
      </c>
      <c r="G92" s="334" t="s">
        <v>299</v>
      </c>
      <c r="H92" t="s">
        <v>453</v>
      </c>
      <c r="P92" s="214" t="s">
        <v>92</v>
      </c>
      <c r="Q92" s="270">
        <v>604.02</v>
      </c>
      <c r="R92" s="364">
        <v>400</v>
      </c>
      <c r="S92" s="364">
        <v>400</v>
      </c>
      <c r="T92" s="364">
        <v>50</v>
      </c>
      <c r="U92" s="364">
        <v>50</v>
      </c>
      <c r="V92" s="490">
        <f t="shared" si="66"/>
        <v>4319.95</v>
      </c>
      <c r="W92" s="479" t="e">
        <f t="shared" si="67"/>
        <v>#REF!</v>
      </c>
      <c r="X92" s="469" t="e">
        <f>$Y$84 + IF($B$2="mil",1,0.0254)*DDR2Specs!$E$9</f>
        <v>#REF!</v>
      </c>
      <c r="Y92" s="492" t="e">
        <f>$X$84 + IF($B$2="mil",1,0.0254)*DDR2Specs!$F$9</f>
        <v>#REF!</v>
      </c>
      <c r="Z92" s="491" t="e">
        <f t="shared" si="60"/>
        <v>#REF!</v>
      </c>
      <c r="AA92" s="492" t="e">
        <f t="shared" si="61"/>
        <v>#REF!</v>
      </c>
      <c r="AB92" s="490">
        <f t="shared" si="68"/>
        <v>4319.95</v>
      </c>
      <c r="AC92" s="479" t="e">
        <f t="shared" si="69"/>
        <v>#REF!</v>
      </c>
      <c r="AD92" s="469" t="e">
        <f>$AE$84 + IF($B$2="mil",1,0.0254)*DDR2Specs!$E$9</f>
        <v>#REF!</v>
      </c>
      <c r="AE92" s="469" t="e">
        <f>$AD$84 + IF($B$2="mil",1,0.0254)*DDR2Specs!$F$9</f>
        <v>#REF!</v>
      </c>
      <c r="AF92" s="491" t="e">
        <f t="shared" si="62"/>
        <v>#REF!</v>
      </c>
      <c r="AG92" s="492" t="e">
        <f t="shared" si="63"/>
        <v>#REF!</v>
      </c>
      <c r="AH92" s="2"/>
      <c r="AI92" s="2"/>
      <c r="AJ92" s="2"/>
      <c r="AK92" s="2"/>
      <c r="AL92" s="510" t="s">
        <v>92</v>
      </c>
      <c r="AM92" s="504" t="e">
        <f t="shared" si="70"/>
        <v>#REF!</v>
      </c>
      <c r="AN92" s="505" t="s">
        <v>92</v>
      </c>
      <c r="AO92" s="474" t="e">
        <f t="shared" si="71"/>
        <v>#REF!</v>
      </c>
      <c r="AQ92" s="473" t="e">
        <f t="shared" si="64"/>
        <v>#REF!</v>
      </c>
      <c r="AR92" s="473" t="e">
        <f t="shared" si="65"/>
        <v>#REF!</v>
      </c>
      <c r="AS92" s="473" t="e">
        <f t="shared" ca="1" si="72"/>
        <v>#NAME?</v>
      </c>
      <c r="AT92" s="473" t="e">
        <f t="shared" ca="1" si="73"/>
        <v>#NAME?</v>
      </c>
      <c r="AU92" s="473" t="e">
        <f t="shared" si="74"/>
        <v>#REF!</v>
      </c>
      <c r="AV92" s="504" t="e">
        <f t="shared" si="75"/>
        <v>#REF!</v>
      </c>
      <c r="AW92" s="473" t="e">
        <f t="shared" si="76"/>
        <v>#REF!</v>
      </c>
      <c r="AX92" s="474" t="e">
        <f t="shared" si="77"/>
        <v>#REF!</v>
      </c>
      <c r="AY92" s="4" t="e">
        <f t="shared" ca="1" si="78"/>
        <v>#REF!</v>
      </c>
      <c r="AZ92" s="2"/>
    </row>
    <row r="93" spans="5:52" x14ac:dyDescent="0.2">
      <c r="F93" s="334" t="s">
        <v>294</v>
      </c>
      <c r="G93" s="334" t="s">
        <v>300</v>
      </c>
      <c r="P93" s="214" t="s">
        <v>94</v>
      </c>
      <c r="Q93" s="270">
        <v>596.35</v>
      </c>
      <c r="R93" s="364">
        <v>400</v>
      </c>
      <c r="S93" s="364">
        <v>400</v>
      </c>
      <c r="T93" s="364">
        <v>50</v>
      </c>
      <c r="U93" s="364">
        <v>50</v>
      </c>
      <c r="V93" s="490">
        <f t="shared" si="66"/>
        <v>4204.2999999999993</v>
      </c>
      <c r="W93" s="479" t="e">
        <f t="shared" si="67"/>
        <v>#REF!</v>
      </c>
      <c r="X93" s="469" t="e">
        <f>$Y$84 + IF($B$2="mil",1,0.0254)*DDR2Specs!$E$9</f>
        <v>#REF!</v>
      </c>
      <c r="Y93" s="492" t="e">
        <f>$X$84 + IF($B$2="mil",1,0.0254)*DDR2Specs!$F$9</f>
        <v>#REF!</v>
      </c>
      <c r="Z93" s="491" t="e">
        <f t="shared" si="60"/>
        <v>#REF!</v>
      </c>
      <c r="AA93" s="492" t="e">
        <f t="shared" si="61"/>
        <v>#REF!</v>
      </c>
      <c r="AB93" s="490">
        <f t="shared" si="68"/>
        <v>4204.2999999999993</v>
      </c>
      <c r="AC93" s="479" t="e">
        <f t="shared" si="69"/>
        <v>#REF!</v>
      </c>
      <c r="AD93" s="469" t="e">
        <f>$AE$84 + IF($B$2="mil",1,0.0254)*DDR2Specs!$E$9</f>
        <v>#REF!</v>
      </c>
      <c r="AE93" s="469" t="e">
        <f>$AD$84 + IF($B$2="mil",1,0.0254)*DDR2Specs!$F$9</f>
        <v>#REF!</v>
      </c>
      <c r="AF93" s="491" t="e">
        <f t="shared" si="62"/>
        <v>#REF!</v>
      </c>
      <c r="AG93" s="492" t="e">
        <f t="shared" si="63"/>
        <v>#REF!</v>
      </c>
      <c r="AH93" s="2"/>
      <c r="AI93" s="2"/>
      <c r="AJ93" s="2"/>
      <c r="AK93" s="2"/>
      <c r="AL93" s="510" t="s">
        <v>94</v>
      </c>
      <c r="AM93" s="504" t="e">
        <f t="shared" si="70"/>
        <v>#REF!</v>
      </c>
      <c r="AN93" s="505" t="s">
        <v>94</v>
      </c>
      <c r="AO93" s="474" t="e">
        <f t="shared" si="71"/>
        <v>#REF!</v>
      </c>
      <c r="AQ93" s="473" t="e">
        <f t="shared" si="64"/>
        <v>#REF!</v>
      </c>
      <c r="AR93" s="473" t="e">
        <f t="shared" si="65"/>
        <v>#REF!</v>
      </c>
      <c r="AS93" s="473" t="e">
        <f t="shared" ca="1" si="72"/>
        <v>#NAME?</v>
      </c>
      <c r="AT93" s="473" t="e">
        <f t="shared" ca="1" si="73"/>
        <v>#NAME?</v>
      </c>
      <c r="AU93" s="473" t="e">
        <f t="shared" si="74"/>
        <v>#REF!</v>
      </c>
      <c r="AV93" s="504" t="e">
        <f t="shared" si="75"/>
        <v>#REF!</v>
      </c>
      <c r="AW93" s="473" t="e">
        <f t="shared" si="76"/>
        <v>#REF!</v>
      </c>
      <c r="AX93" s="474" t="e">
        <f t="shared" si="77"/>
        <v>#REF!</v>
      </c>
      <c r="AY93" s="4" t="e">
        <f t="shared" ca="1" si="78"/>
        <v>#REF!</v>
      </c>
      <c r="AZ93" s="2"/>
    </row>
    <row r="94" spans="5:52" x14ac:dyDescent="0.2">
      <c r="F94" s="334" t="s">
        <v>296</v>
      </c>
      <c r="G94" s="334" t="s">
        <v>301</v>
      </c>
      <c r="P94" s="214" t="s">
        <v>95</v>
      </c>
      <c r="Q94" s="270">
        <v>615.67999999999995</v>
      </c>
      <c r="R94" s="364">
        <v>300</v>
      </c>
      <c r="S94" s="364">
        <v>400</v>
      </c>
      <c r="T94" s="364">
        <v>50</v>
      </c>
      <c r="U94" s="364">
        <v>50</v>
      </c>
      <c r="V94" s="490">
        <f t="shared" si="66"/>
        <v>4176.29</v>
      </c>
      <c r="W94" s="479" t="e">
        <f t="shared" si="67"/>
        <v>#REF!</v>
      </c>
      <c r="X94" s="469" t="e">
        <f>$Y$84 + IF($B$2="mil",1,0.0254)*DDR2Specs!$E$9</f>
        <v>#REF!</v>
      </c>
      <c r="Y94" s="492" t="e">
        <f>$X$84 + IF($B$2="mil",1,0.0254)*DDR2Specs!$F$9</f>
        <v>#REF!</v>
      </c>
      <c r="Z94" s="491" t="e">
        <f t="shared" si="60"/>
        <v>#REF!</v>
      </c>
      <c r="AA94" s="492" t="e">
        <f t="shared" si="61"/>
        <v>#REF!</v>
      </c>
      <c r="AB94" s="490">
        <f t="shared" si="68"/>
        <v>4276.29</v>
      </c>
      <c r="AC94" s="479" t="e">
        <f t="shared" si="69"/>
        <v>#REF!</v>
      </c>
      <c r="AD94" s="469" t="e">
        <f>$AE$84 + IF($B$2="mil",1,0.0254)*DDR2Specs!$E$9</f>
        <v>#REF!</v>
      </c>
      <c r="AE94" s="469" t="e">
        <f>$AD$84 + IF($B$2="mil",1,0.0254)*DDR2Specs!$F$9</f>
        <v>#REF!</v>
      </c>
      <c r="AF94" s="491" t="e">
        <f t="shared" si="62"/>
        <v>#REF!</v>
      </c>
      <c r="AG94" s="492" t="e">
        <f t="shared" si="63"/>
        <v>#REF!</v>
      </c>
      <c r="AH94" s="2"/>
      <c r="AI94" s="2"/>
      <c r="AJ94" s="2"/>
      <c r="AK94" s="2"/>
      <c r="AL94" s="510" t="s">
        <v>95</v>
      </c>
      <c r="AM94" s="504" t="e">
        <f t="shared" si="70"/>
        <v>#REF!</v>
      </c>
      <c r="AN94" s="505" t="s">
        <v>95</v>
      </c>
      <c r="AO94" s="474" t="e">
        <f t="shared" si="71"/>
        <v>#REF!</v>
      </c>
      <c r="AQ94" s="473" t="e">
        <f t="shared" si="64"/>
        <v>#REF!</v>
      </c>
      <c r="AR94" s="473" t="e">
        <f t="shared" si="65"/>
        <v>#REF!</v>
      </c>
      <c r="AS94" s="473" t="e">
        <f t="shared" ca="1" si="72"/>
        <v>#NAME?</v>
      </c>
      <c r="AT94" s="473" t="e">
        <f t="shared" ca="1" si="73"/>
        <v>#NAME?</v>
      </c>
      <c r="AU94" s="473" t="e">
        <f t="shared" si="74"/>
        <v>#REF!</v>
      </c>
      <c r="AV94" s="504" t="e">
        <f t="shared" si="75"/>
        <v>#REF!</v>
      </c>
      <c r="AW94" s="473" t="e">
        <f t="shared" si="76"/>
        <v>#REF!</v>
      </c>
      <c r="AX94" s="474" t="e">
        <f t="shared" si="77"/>
        <v>#REF!</v>
      </c>
      <c r="AY94" s="4" t="e">
        <f t="shared" ca="1" si="78"/>
        <v>#REF!</v>
      </c>
      <c r="AZ94" s="2"/>
    </row>
    <row r="95" spans="5:52" x14ac:dyDescent="0.2">
      <c r="F95" s="334" t="s">
        <v>295</v>
      </c>
      <c r="G95" s="334" t="s">
        <v>302</v>
      </c>
      <c r="P95" s="214" t="s">
        <v>96</v>
      </c>
      <c r="Q95" s="270">
        <v>533.94000000000005</v>
      </c>
      <c r="R95" s="364">
        <v>210</v>
      </c>
      <c r="S95" s="364">
        <v>400</v>
      </c>
      <c r="T95" s="364">
        <v>50</v>
      </c>
      <c r="U95" s="364">
        <v>50</v>
      </c>
      <c r="V95" s="490">
        <f t="shared" si="66"/>
        <v>4256.6000000000004</v>
      </c>
      <c r="W95" s="479" t="e">
        <f t="shared" si="67"/>
        <v>#REF!</v>
      </c>
      <c r="X95" s="469" t="e">
        <f>$Y$84 + IF($B$2="mil",1,0.0254)*DDR2Specs!$E$9</f>
        <v>#REF!</v>
      </c>
      <c r="Y95" s="492" t="e">
        <f>$X$84 + IF($B$2="mil",1,0.0254)*DDR2Specs!$F$9</f>
        <v>#REF!</v>
      </c>
      <c r="Z95" s="491" t="e">
        <f t="shared" si="60"/>
        <v>#REF!</v>
      </c>
      <c r="AA95" s="492" t="e">
        <f t="shared" si="61"/>
        <v>#REF!</v>
      </c>
      <c r="AB95" s="490">
        <f t="shared" si="68"/>
        <v>4446.6000000000004</v>
      </c>
      <c r="AC95" s="479" t="e">
        <f t="shared" si="69"/>
        <v>#REF!</v>
      </c>
      <c r="AD95" s="469" t="e">
        <f>$AE$84 + IF($B$2="mil",1,0.0254)*DDR2Specs!$E$9</f>
        <v>#REF!</v>
      </c>
      <c r="AE95" s="469" t="e">
        <f>$AD$84 + IF($B$2="mil",1,0.0254)*DDR2Specs!$F$9</f>
        <v>#REF!</v>
      </c>
      <c r="AF95" s="491" t="e">
        <f t="shared" si="62"/>
        <v>#REF!</v>
      </c>
      <c r="AG95" s="492" t="e">
        <f t="shared" si="63"/>
        <v>#REF!</v>
      </c>
      <c r="AH95" s="2"/>
      <c r="AI95" s="2"/>
      <c r="AJ95" s="2"/>
      <c r="AK95" s="2"/>
      <c r="AL95" s="510" t="s">
        <v>96</v>
      </c>
      <c r="AM95" s="504" t="e">
        <f t="shared" si="70"/>
        <v>#REF!</v>
      </c>
      <c r="AN95" s="505" t="s">
        <v>96</v>
      </c>
      <c r="AO95" s="474" t="e">
        <f t="shared" si="71"/>
        <v>#REF!</v>
      </c>
      <c r="AQ95" s="473" t="e">
        <f t="shared" si="64"/>
        <v>#REF!</v>
      </c>
      <c r="AR95" s="473" t="e">
        <f t="shared" si="65"/>
        <v>#REF!</v>
      </c>
      <c r="AS95" s="473" t="e">
        <f t="shared" ca="1" si="72"/>
        <v>#NAME?</v>
      </c>
      <c r="AT95" s="473" t="e">
        <f t="shared" ca="1" si="73"/>
        <v>#NAME?</v>
      </c>
      <c r="AU95" s="473" t="e">
        <f t="shared" si="74"/>
        <v>#REF!</v>
      </c>
      <c r="AV95" s="504" t="e">
        <f t="shared" si="75"/>
        <v>#REF!</v>
      </c>
      <c r="AW95" s="473" t="e">
        <f t="shared" si="76"/>
        <v>#REF!</v>
      </c>
      <c r="AX95" s="474" t="e">
        <f t="shared" si="77"/>
        <v>#REF!</v>
      </c>
      <c r="AY95" s="4" t="e">
        <f t="shared" ca="1" si="78"/>
        <v>#REF!</v>
      </c>
      <c r="AZ95" s="2"/>
    </row>
    <row r="96" spans="5:52" x14ac:dyDescent="0.2">
      <c r="P96" s="214" t="s">
        <v>98</v>
      </c>
      <c r="Q96" s="270">
        <v>559.79</v>
      </c>
      <c r="R96" s="364">
        <v>150</v>
      </c>
      <c r="S96" s="364">
        <v>400</v>
      </c>
      <c r="T96" s="364">
        <v>50</v>
      </c>
      <c r="U96" s="364">
        <v>50</v>
      </c>
      <c r="V96" s="490">
        <f t="shared" si="66"/>
        <v>4339.49</v>
      </c>
      <c r="W96" s="479" t="e">
        <f t="shared" si="67"/>
        <v>#REF!</v>
      </c>
      <c r="X96" s="469" t="e">
        <f>$Y$84 + IF($B$2="mil",1,0.0254)*DDR2Specs!$E$9</f>
        <v>#REF!</v>
      </c>
      <c r="Y96" s="492" t="e">
        <f>$X$84 + IF($B$2="mil",1,0.0254)*DDR2Specs!$F$9</f>
        <v>#REF!</v>
      </c>
      <c r="Z96" s="491" t="e">
        <f t="shared" si="60"/>
        <v>#REF!</v>
      </c>
      <c r="AA96" s="492" t="e">
        <f t="shared" si="61"/>
        <v>#REF!</v>
      </c>
      <c r="AB96" s="490">
        <f t="shared" si="68"/>
        <v>4589.49</v>
      </c>
      <c r="AC96" s="479" t="e">
        <f t="shared" si="69"/>
        <v>#REF!</v>
      </c>
      <c r="AD96" s="469" t="e">
        <f>$AE$84 + IF($B$2="mil",1,0.0254)*DDR2Specs!$E$9</f>
        <v>#REF!</v>
      </c>
      <c r="AE96" s="469" t="e">
        <f>$AD$84 + IF($B$2="mil",1,0.0254)*DDR2Specs!$F$9</f>
        <v>#REF!</v>
      </c>
      <c r="AF96" s="491" t="e">
        <f t="shared" si="62"/>
        <v>#REF!</v>
      </c>
      <c r="AG96" s="492" t="e">
        <f t="shared" si="63"/>
        <v>#REF!</v>
      </c>
      <c r="AH96" s="2"/>
      <c r="AI96" s="2"/>
      <c r="AJ96" s="2"/>
      <c r="AK96" s="2"/>
      <c r="AL96" s="510" t="s">
        <v>98</v>
      </c>
      <c r="AM96" s="504" t="e">
        <f t="shared" si="70"/>
        <v>#REF!</v>
      </c>
      <c r="AN96" s="505" t="s">
        <v>98</v>
      </c>
      <c r="AO96" s="474" t="e">
        <f t="shared" si="71"/>
        <v>#REF!</v>
      </c>
      <c r="AQ96" s="473" t="e">
        <f t="shared" si="64"/>
        <v>#REF!</v>
      </c>
      <c r="AR96" s="473" t="e">
        <f t="shared" si="65"/>
        <v>#REF!</v>
      </c>
      <c r="AS96" s="473" t="e">
        <f t="shared" ca="1" si="72"/>
        <v>#NAME?</v>
      </c>
      <c r="AT96" s="473" t="e">
        <f t="shared" ca="1" si="73"/>
        <v>#NAME?</v>
      </c>
      <c r="AU96" s="473" t="e">
        <f t="shared" si="74"/>
        <v>#REF!</v>
      </c>
      <c r="AV96" s="504" t="e">
        <f t="shared" si="75"/>
        <v>#REF!</v>
      </c>
      <c r="AW96" s="473" t="e">
        <f t="shared" si="76"/>
        <v>#REF!</v>
      </c>
      <c r="AX96" s="474" t="e">
        <f t="shared" si="77"/>
        <v>#REF!</v>
      </c>
      <c r="AY96" s="4" t="e">
        <f t="shared" ca="1" si="78"/>
        <v>#REF!</v>
      </c>
      <c r="AZ96" s="2"/>
    </row>
    <row r="97" spans="5:52" x14ac:dyDescent="0.2">
      <c r="P97" s="214" t="s">
        <v>99</v>
      </c>
      <c r="Q97" s="270">
        <v>632.15</v>
      </c>
      <c r="R97" s="364">
        <v>150</v>
      </c>
      <c r="S97" s="364">
        <v>400</v>
      </c>
      <c r="T97" s="364">
        <v>50</v>
      </c>
      <c r="U97" s="364">
        <v>50</v>
      </c>
      <c r="V97" s="490">
        <f t="shared" si="66"/>
        <v>4168.38</v>
      </c>
      <c r="W97" s="479" t="e">
        <f t="shared" si="67"/>
        <v>#REF!</v>
      </c>
      <c r="X97" s="469" t="e">
        <f>$Y$84 + IF($B$2="mil",1,0.0254)*DDR2Specs!$E$9</f>
        <v>#REF!</v>
      </c>
      <c r="Y97" s="492" t="e">
        <f>$X$84 + IF($B$2="mil",1,0.0254)*DDR2Specs!$F$9</f>
        <v>#REF!</v>
      </c>
      <c r="Z97" s="491" t="e">
        <f t="shared" si="60"/>
        <v>#REF!</v>
      </c>
      <c r="AA97" s="492" t="e">
        <f t="shared" si="61"/>
        <v>#REF!</v>
      </c>
      <c r="AB97" s="490">
        <f t="shared" si="68"/>
        <v>4418.38</v>
      </c>
      <c r="AC97" s="479" t="e">
        <f t="shared" si="69"/>
        <v>#REF!</v>
      </c>
      <c r="AD97" s="469" t="e">
        <f>$AE$84 + IF($B$2="mil",1,0.0254)*DDR2Specs!$E$9</f>
        <v>#REF!</v>
      </c>
      <c r="AE97" s="469" t="e">
        <f>$AD$84 + IF($B$2="mil",1,0.0254)*DDR2Specs!$F$9</f>
        <v>#REF!</v>
      </c>
      <c r="AF97" s="491" t="e">
        <f t="shared" si="62"/>
        <v>#REF!</v>
      </c>
      <c r="AG97" s="492" t="e">
        <f t="shared" si="63"/>
        <v>#REF!</v>
      </c>
      <c r="AH97" s="2"/>
      <c r="AI97" s="2"/>
      <c r="AJ97" s="2"/>
      <c r="AK97" s="2"/>
      <c r="AL97" s="510" t="s">
        <v>99</v>
      </c>
      <c r="AM97" s="504" t="e">
        <f t="shared" si="70"/>
        <v>#REF!</v>
      </c>
      <c r="AN97" s="505" t="s">
        <v>99</v>
      </c>
      <c r="AO97" s="474" t="e">
        <f t="shared" si="71"/>
        <v>#REF!</v>
      </c>
      <c r="AQ97" s="473" t="e">
        <f t="shared" si="64"/>
        <v>#REF!</v>
      </c>
      <c r="AR97" s="473" t="e">
        <f t="shared" si="65"/>
        <v>#REF!</v>
      </c>
      <c r="AS97" s="473" t="e">
        <f t="shared" ca="1" si="72"/>
        <v>#NAME?</v>
      </c>
      <c r="AT97" s="473" t="e">
        <f t="shared" ca="1" si="73"/>
        <v>#NAME?</v>
      </c>
      <c r="AU97" s="473" t="e">
        <f t="shared" si="74"/>
        <v>#REF!</v>
      </c>
      <c r="AV97" s="504" t="e">
        <f t="shared" si="75"/>
        <v>#REF!</v>
      </c>
      <c r="AW97" s="473" t="e">
        <f t="shared" si="76"/>
        <v>#REF!</v>
      </c>
      <c r="AX97" s="474" t="e">
        <f t="shared" si="77"/>
        <v>#REF!</v>
      </c>
      <c r="AY97" s="4" t="e">
        <f t="shared" ca="1" si="78"/>
        <v>#REF!</v>
      </c>
      <c r="AZ97" s="2"/>
    </row>
    <row r="98" spans="5:52" x14ac:dyDescent="0.2">
      <c r="P98" s="214" t="s">
        <v>100</v>
      </c>
      <c r="Q98" s="270">
        <v>566.39</v>
      </c>
      <c r="R98" s="364">
        <v>160</v>
      </c>
      <c r="S98" s="364">
        <v>400</v>
      </c>
      <c r="T98" s="364">
        <v>50</v>
      </c>
      <c r="U98" s="364">
        <v>50</v>
      </c>
      <c r="V98" s="490">
        <f t="shared" si="66"/>
        <v>4210.66</v>
      </c>
      <c r="W98" s="479" t="e">
        <f t="shared" si="67"/>
        <v>#REF!</v>
      </c>
      <c r="X98" s="469" t="e">
        <f>$Y$84 + IF($B$2="mil",1,0.0254)*DDR2Specs!$E$9</f>
        <v>#REF!</v>
      </c>
      <c r="Y98" s="492" t="e">
        <f>$X$84 + IF($B$2="mil",1,0.0254)*DDR2Specs!$F$9</f>
        <v>#REF!</v>
      </c>
      <c r="Z98" s="491" t="e">
        <f t="shared" si="60"/>
        <v>#REF!</v>
      </c>
      <c r="AA98" s="492" t="e">
        <f t="shared" si="61"/>
        <v>#REF!</v>
      </c>
      <c r="AB98" s="490">
        <f t="shared" si="68"/>
        <v>4450.66</v>
      </c>
      <c r="AC98" s="479" t="e">
        <f t="shared" si="69"/>
        <v>#REF!</v>
      </c>
      <c r="AD98" s="469" t="e">
        <f>$AE$84 + IF($B$2="mil",1,0.0254)*DDR2Specs!$E$9</f>
        <v>#REF!</v>
      </c>
      <c r="AE98" s="469" t="e">
        <f>$AD$84 + IF($B$2="mil",1,0.0254)*DDR2Specs!$F$9</f>
        <v>#REF!</v>
      </c>
      <c r="AF98" s="491" t="e">
        <f t="shared" si="62"/>
        <v>#REF!</v>
      </c>
      <c r="AG98" s="492" t="e">
        <f t="shared" si="63"/>
        <v>#REF!</v>
      </c>
      <c r="AH98" s="2"/>
      <c r="AI98" s="2"/>
      <c r="AJ98" s="2"/>
      <c r="AK98" s="2"/>
      <c r="AL98" s="510" t="s">
        <v>100</v>
      </c>
      <c r="AM98" s="504" t="e">
        <f t="shared" si="70"/>
        <v>#REF!</v>
      </c>
      <c r="AN98" s="505" t="s">
        <v>100</v>
      </c>
      <c r="AO98" s="474" t="e">
        <f t="shared" si="71"/>
        <v>#REF!</v>
      </c>
      <c r="AQ98" s="473" t="e">
        <f t="shared" si="64"/>
        <v>#REF!</v>
      </c>
      <c r="AR98" s="473" t="e">
        <f t="shared" si="65"/>
        <v>#REF!</v>
      </c>
      <c r="AS98" s="473" t="e">
        <f t="shared" ca="1" si="72"/>
        <v>#NAME?</v>
      </c>
      <c r="AT98" s="473" t="e">
        <f t="shared" ca="1" si="73"/>
        <v>#NAME?</v>
      </c>
      <c r="AU98" s="473" t="e">
        <f t="shared" si="74"/>
        <v>#REF!</v>
      </c>
      <c r="AV98" s="504" t="e">
        <f t="shared" si="75"/>
        <v>#REF!</v>
      </c>
      <c r="AW98" s="473" t="e">
        <f t="shared" si="76"/>
        <v>#REF!</v>
      </c>
      <c r="AX98" s="474" t="e">
        <f t="shared" si="77"/>
        <v>#REF!</v>
      </c>
      <c r="AY98" s="4" t="e">
        <f t="shared" ca="1" si="78"/>
        <v>#REF!</v>
      </c>
      <c r="AZ98" s="2"/>
    </row>
    <row r="99" spans="5:52" ht="15.75" x14ac:dyDescent="0.25">
      <c r="E99" s="372"/>
      <c r="P99" s="214" t="s">
        <v>101</v>
      </c>
      <c r="Q99" s="270">
        <v>566.39</v>
      </c>
      <c r="R99" s="364">
        <v>300</v>
      </c>
      <c r="S99" s="364">
        <v>400</v>
      </c>
      <c r="T99" s="364">
        <v>50</v>
      </c>
      <c r="U99" s="364">
        <v>50</v>
      </c>
      <c r="V99" s="490">
        <f t="shared" si="66"/>
        <v>4230.66</v>
      </c>
      <c r="W99" s="479" t="e">
        <f t="shared" si="67"/>
        <v>#REF!</v>
      </c>
      <c r="X99" s="469" t="e">
        <f>$Y$84 + IF($B$2="mil",1,0.0254)*DDR2Specs!$E$9</f>
        <v>#REF!</v>
      </c>
      <c r="Y99" s="492" t="e">
        <f>$X$84 + IF($B$2="mil",1,0.0254)*DDR2Specs!$F$9</f>
        <v>#REF!</v>
      </c>
      <c r="Z99" s="491" t="e">
        <f t="shared" si="60"/>
        <v>#REF!</v>
      </c>
      <c r="AA99" s="492" t="e">
        <f t="shared" si="61"/>
        <v>#REF!</v>
      </c>
      <c r="AB99" s="490">
        <f t="shared" si="68"/>
        <v>4330.66</v>
      </c>
      <c r="AC99" s="479" t="e">
        <f t="shared" si="69"/>
        <v>#REF!</v>
      </c>
      <c r="AD99" s="469" t="e">
        <f>$AE$84 + IF($B$2="mil",1,0.0254)*DDR2Specs!$E$9</f>
        <v>#REF!</v>
      </c>
      <c r="AE99" s="469" t="e">
        <f>$AD$84 + IF($B$2="mil",1,0.0254)*DDR2Specs!$F$9</f>
        <v>#REF!</v>
      </c>
      <c r="AF99" s="491" t="e">
        <f t="shared" si="62"/>
        <v>#REF!</v>
      </c>
      <c r="AG99" s="492" t="e">
        <f t="shared" si="63"/>
        <v>#REF!</v>
      </c>
      <c r="AH99" s="2"/>
      <c r="AI99" s="2"/>
      <c r="AJ99" s="2"/>
      <c r="AK99" s="2"/>
      <c r="AL99" s="510" t="s">
        <v>101</v>
      </c>
      <c r="AM99" s="504" t="e">
        <f t="shared" si="70"/>
        <v>#REF!</v>
      </c>
      <c r="AN99" s="505" t="s">
        <v>101</v>
      </c>
      <c r="AO99" s="474" t="e">
        <f t="shared" si="71"/>
        <v>#REF!</v>
      </c>
      <c r="AQ99" s="473" t="e">
        <f t="shared" si="64"/>
        <v>#REF!</v>
      </c>
      <c r="AR99" s="473" t="e">
        <f t="shared" si="65"/>
        <v>#REF!</v>
      </c>
      <c r="AS99" s="473" t="e">
        <f t="shared" ca="1" si="72"/>
        <v>#NAME?</v>
      </c>
      <c r="AT99" s="473" t="e">
        <f t="shared" ca="1" si="73"/>
        <v>#NAME?</v>
      </c>
      <c r="AU99" s="473" t="e">
        <f t="shared" si="74"/>
        <v>#REF!</v>
      </c>
      <c r="AV99" s="504" t="e">
        <f t="shared" si="75"/>
        <v>#REF!</v>
      </c>
      <c r="AW99" s="473" t="e">
        <f t="shared" si="76"/>
        <v>#REF!</v>
      </c>
      <c r="AX99" s="474" t="e">
        <f t="shared" si="77"/>
        <v>#REF!</v>
      </c>
      <c r="AY99" s="4" t="e">
        <f t="shared" ca="1" si="78"/>
        <v>#REF!</v>
      </c>
      <c r="AZ99" s="2"/>
    </row>
    <row r="100" spans="5:52" x14ac:dyDescent="0.2">
      <c r="P100" s="389" t="s">
        <v>278</v>
      </c>
      <c r="Q100" s="298"/>
      <c r="R100" s="291"/>
      <c r="S100" s="291"/>
      <c r="T100" s="388"/>
      <c r="U100" s="388"/>
      <c r="V100" s="182"/>
      <c r="W100" s="182"/>
      <c r="X100" s="182"/>
      <c r="Y100" s="515"/>
      <c r="Z100" s="385"/>
      <c r="AA100" s="385"/>
      <c r="AB100" s="182"/>
      <c r="AC100" s="182"/>
      <c r="AD100" s="182"/>
      <c r="AE100" s="182"/>
      <c r="AF100" s="385"/>
      <c r="AG100" s="385"/>
      <c r="AH100" s="2"/>
      <c r="AI100" s="2"/>
      <c r="AJ100" s="2"/>
      <c r="AK100" s="2"/>
      <c r="AL100" s="134" t="s">
        <v>278</v>
      </c>
      <c r="AM100" s="244"/>
      <c r="AN100" s="134" t="s">
        <v>278</v>
      </c>
      <c r="AO100" s="478"/>
      <c r="AQ100" s="155"/>
      <c r="AR100" s="155"/>
      <c r="AS100" s="155"/>
      <c r="AT100" s="155"/>
      <c r="AU100" s="155"/>
      <c r="AV100" s="506"/>
      <c r="AW100" s="155"/>
      <c r="AX100" s="494"/>
      <c r="AY100" s="2"/>
      <c r="AZ100" s="2"/>
    </row>
    <row r="101" spans="5:52" x14ac:dyDescent="0.2">
      <c r="P101" s="161" t="s">
        <v>102</v>
      </c>
      <c r="Q101" s="270">
        <v>570.59</v>
      </c>
      <c r="R101" s="304">
        <v>350</v>
      </c>
      <c r="S101" s="364">
        <v>400</v>
      </c>
      <c r="T101" s="364">
        <v>50</v>
      </c>
      <c r="U101" s="364">
        <v>50</v>
      </c>
      <c r="V101" s="490">
        <f t="shared" si="66"/>
        <v>4291.21</v>
      </c>
      <c r="W101" s="469" t="e">
        <f>$V101+IF($B$2="mil",1,0.0254)*$C49</f>
        <v>#REF!</v>
      </c>
      <c r="X101" s="469" t="e">
        <f>$Y$84 + IF($B$2="mil",1,0.0254)*DDR2Specs!$E$9</f>
        <v>#REF!</v>
      </c>
      <c r="Y101" s="492" t="e">
        <f>$X$84 + IF($B$2="mil",1,0.0254)*DDR2Specs!$F$9</f>
        <v>#REF!</v>
      </c>
      <c r="Z101" s="491" t="e">
        <f>IF($W101&lt;$X101,$X101-$W101,"Pass")</f>
        <v>#REF!</v>
      </c>
      <c r="AA101" s="492" t="e">
        <f>IF($W101&gt;$Y101,$W101-$Y101,"Pass")</f>
        <v>#REF!</v>
      </c>
      <c r="AB101" s="490">
        <f t="shared" si="68"/>
        <v>4341.21</v>
      </c>
      <c r="AC101" s="469" t="e">
        <f>$AB101+IF($B$2="mil",1,0.0254)*$C49</f>
        <v>#REF!</v>
      </c>
      <c r="AD101" s="469" t="e">
        <f>$AE$84 + IF($B$2="mil",1,0.0254)*DDR2Specs!$E$9</f>
        <v>#REF!</v>
      </c>
      <c r="AE101" s="469" t="e">
        <f>$AD$84 + IF($B$2="mil",1,0.0254)*DDR2Specs!$F$9</f>
        <v>#REF!</v>
      </c>
      <c r="AF101" s="491" t="e">
        <f>IF($AC101&lt;$AD101,$AD101-$AC101,"Pass")</f>
        <v>#REF!</v>
      </c>
      <c r="AG101" s="492" t="e">
        <f>IF($AC101&gt;$AE101,$AC101-$AE101,"Pass")</f>
        <v>#REF!</v>
      </c>
      <c r="AH101" s="2"/>
      <c r="AI101" s="2"/>
      <c r="AJ101" s="2"/>
      <c r="AK101" s="2"/>
      <c r="AL101" s="509" t="s">
        <v>102</v>
      </c>
      <c r="AM101" s="504" t="e">
        <f>IF(P49&lt;=IF($B$2="mil",1,0.0254)*1000,"Pass",IF($B$2="mil",1,0.0254)*1000-P49)</f>
        <v>#REF!</v>
      </c>
      <c r="AN101" s="503" t="s">
        <v>102</v>
      </c>
      <c r="AO101" s="474" t="e">
        <f>IF($Q101&lt;=IF($B$2="mil",1,0.0254)*1000,"Pass",IF($B$2="mil",1,0.0254)*1000-$Q101)</f>
        <v>#REF!</v>
      </c>
      <c r="AQ101" s="473" t="e">
        <f>IF($R101&lt;=IF($B$2="mil",1,0.0254)*750,"Pass",IF($B$2="mil",1,0.0254)*750-$R101)</f>
        <v>#REF!</v>
      </c>
      <c r="AR101" s="473" t="e">
        <f>IF($S101&lt;=IF($B$2="mil",1,0.0254)*750,"Pass",IF($B$2="mil",1,0.0254)*750-$S101)</f>
        <v>#REF!</v>
      </c>
      <c r="AS101" s="473" t="e">
        <f t="shared" ref="AS101:AT103" ca="1" si="79">CheckLength2(IF($B$2="mil",1,0.0254)*950,R101,T101,0)</f>
        <v>#NAME?</v>
      </c>
      <c r="AT101" s="473" t="e">
        <f t="shared" ca="1" si="79"/>
        <v>#NAME?</v>
      </c>
      <c r="AU101" s="473" t="e">
        <f>IF(AND(V101&gt;=IF($B$2="mil",1,0.0254)*500, $V101&lt;=IF($B$2="mil",1,0.0254)*6500),"Pass",IF($B$2="mil",1,0.0254)*6500-$V101)</f>
        <v>#REF!</v>
      </c>
      <c r="AV101" s="504" t="e">
        <f>IF(AND($W101&gt;=IF($B$2="mil",1,0.0254)*500, $W101&lt;=IF($B$2="mil",1,0.0254)*7000),"Pass",IF($B$2="mil",1,0.0254)*7000-$W101)</f>
        <v>#REF!</v>
      </c>
      <c r="AW101" s="473" t="e">
        <f>IF(AND($AB101&gt;=IF($B$2="mil",1,0.0254)*500, $AB101&lt;=IF($B$2="mil",1,0.0254)*6500),"Pass",IF($B$2="mil",1,0.0254)*6500-$AB101)</f>
        <v>#REF!</v>
      </c>
      <c r="AX101" s="474" t="e">
        <f>IF(AND($AC101&gt;=IF($B$2="mil",1,0.0254)*500, $AC101&lt;=IF($B$2="mil",1,0.0254)*7000),"Pass",IF($B$2="mil",1,0.0254)*7000-$AC101)</f>
        <v>#REF!</v>
      </c>
      <c r="AY101" s="4" t="e">
        <f t="shared" ca="1" si="78"/>
        <v>#REF!</v>
      </c>
      <c r="AZ101" s="2"/>
    </row>
    <row r="102" spans="5:52" x14ac:dyDescent="0.2">
      <c r="P102" s="215" t="s">
        <v>103</v>
      </c>
      <c r="Q102" s="270">
        <v>585.74</v>
      </c>
      <c r="R102" s="305">
        <v>400</v>
      </c>
      <c r="S102" s="364">
        <v>400</v>
      </c>
      <c r="T102" s="364">
        <v>50</v>
      </c>
      <c r="U102" s="364">
        <v>50</v>
      </c>
      <c r="V102" s="490">
        <f t="shared" si="66"/>
        <v>4409.3</v>
      </c>
      <c r="W102" s="469" t="e">
        <f>$V102+IF($B$2="mil",1,0.0254)*$C50</f>
        <v>#REF!</v>
      </c>
      <c r="X102" s="469" t="e">
        <f>$Y$84 + IF($B$2="mil",1,0.0254)*DDR2Specs!$E$9</f>
        <v>#REF!</v>
      </c>
      <c r="Y102" s="492" t="e">
        <f>$X$84 + IF($B$2="mil",1,0.0254)*DDR2Specs!$F$9</f>
        <v>#REF!</v>
      </c>
      <c r="Z102" s="491" t="e">
        <f>IF($W102&lt;$X102,$X102-$W102,"Pass")</f>
        <v>#REF!</v>
      </c>
      <c r="AA102" s="492" t="e">
        <f>IF($W102&gt;$Y102,$W102-$Y102,"Pass")</f>
        <v>#REF!</v>
      </c>
      <c r="AB102" s="490">
        <f t="shared" si="68"/>
        <v>4409.3</v>
      </c>
      <c r="AC102" s="469" t="e">
        <f>$AB102+IF($B$2="mil",1,0.0254)*$C50</f>
        <v>#REF!</v>
      </c>
      <c r="AD102" s="469" t="e">
        <f>$AE$84 + IF($B$2="mil",1,0.0254)*DDR2Specs!$E$9</f>
        <v>#REF!</v>
      </c>
      <c r="AE102" s="469" t="e">
        <f>$AD$84 + IF($B$2="mil",1,0.0254)*DDR2Specs!$F$9</f>
        <v>#REF!</v>
      </c>
      <c r="AF102" s="491" t="e">
        <f>IF($AC102&lt;$AD102,$AD102-$AC102,"Pass")</f>
        <v>#REF!</v>
      </c>
      <c r="AG102" s="492" t="e">
        <f>IF($AC102&gt;$AE102,$AC102-$AE102,"Pass")</f>
        <v>#REF!</v>
      </c>
      <c r="AH102" s="2"/>
      <c r="AI102" s="2"/>
      <c r="AJ102" s="2"/>
      <c r="AK102" s="2"/>
      <c r="AL102" s="511" t="s">
        <v>103</v>
      </c>
      <c r="AM102" s="504" t="e">
        <f>IF(P50&lt;=IF($B$2="mil",1,0.0254)*1000,"Pass",IF($B$2="mil",1,0.0254)*1000-P50)</f>
        <v>#REF!</v>
      </c>
      <c r="AN102" s="507" t="s">
        <v>103</v>
      </c>
      <c r="AO102" s="474" t="e">
        <f>IF($Q102&lt;=IF($B$2="mil",1,0.0254)*1000,"Pass",IF($B$2="mil",1,0.0254)*1000-$Q102)</f>
        <v>#REF!</v>
      </c>
      <c r="AQ102" s="473" t="e">
        <f>IF($R102&lt;=IF($B$2="mil",1,0.0254)*750,"Pass",IF($B$2="mil",1,0.0254)*750-$R102)</f>
        <v>#REF!</v>
      </c>
      <c r="AR102" s="473" t="e">
        <f>IF($S102&lt;=IF($B$2="mil",1,0.0254)*750,"Pass",IF($B$2="mil",1,0.0254)*750-$S102)</f>
        <v>#REF!</v>
      </c>
      <c r="AS102" s="473" t="e">
        <f t="shared" ca="1" si="79"/>
        <v>#NAME?</v>
      </c>
      <c r="AT102" s="473" t="e">
        <f t="shared" ca="1" si="79"/>
        <v>#NAME?</v>
      </c>
      <c r="AU102" s="473" t="e">
        <f>IF(AND(V102&gt;=IF($B$2="mil",1,0.0254)*500, $V102&lt;=IF($B$2="mil",1,0.0254)*6500),"Pass",IF($B$2="mil",1,0.0254)*6500-$V102)</f>
        <v>#REF!</v>
      </c>
      <c r="AV102" s="504" t="e">
        <f>IF(AND($W102&gt;=IF($B$2="mil",1,0.0254)*500, $W102&lt;=IF($B$2="mil",1,0.0254)*7000),"Pass",IF($B$2="mil",1,0.0254)*7000-$W102)</f>
        <v>#REF!</v>
      </c>
      <c r="AW102" s="473" t="e">
        <f>IF(AND($AB102&gt;=IF($B$2="mil",1,0.0254)*500, $AB102&lt;=IF($B$2="mil",1,0.0254)*6500),"Pass",IF($B$2="mil",1,0.0254)*6500-$AB102)</f>
        <v>#REF!</v>
      </c>
      <c r="AX102" s="474" t="e">
        <f>IF(AND($AC102&gt;=IF($B$2="mil",1,0.0254)*500, $AC102&lt;=IF($B$2="mil",1,0.0254)*7000),"Pass",IF($B$2="mil",1,0.0254)*7000-$AC102)</f>
        <v>#REF!</v>
      </c>
      <c r="AY102" s="4" t="e">
        <f t="shared" ca="1" si="78"/>
        <v>#REF!</v>
      </c>
      <c r="AZ102" s="2"/>
    </row>
    <row r="103" spans="5:52" x14ac:dyDescent="0.2">
      <c r="P103" s="215" t="s">
        <v>104</v>
      </c>
      <c r="Q103" s="270">
        <v>541.1</v>
      </c>
      <c r="R103" s="303">
        <v>250</v>
      </c>
      <c r="S103" s="364">
        <v>400</v>
      </c>
      <c r="T103" s="364">
        <v>50</v>
      </c>
      <c r="U103" s="364">
        <v>50</v>
      </c>
      <c r="V103" s="490">
        <f t="shared" si="66"/>
        <v>4348.68</v>
      </c>
      <c r="W103" s="469" t="e">
        <f>$V103+IF($B$2="mil",1,0.0254)*$C51</f>
        <v>#REF!</v>
      </c>
      <c r="X103" s="469" t="e">
        <f>$Y$84 + IF($B$2="mil",1,0.0254)*DDR2Specs!$E$9</f>
        <v>#REF!</v>
      </c>
      <c r="Y103" s="492" t="e">
        <f>$X$84 + IF($B$2="mil",1,0.0254)*DDR2Specs!$F$9</f>
        <v>#REF!</v>
      </c>
      <c r="Z103" s="491" t="e">
        <f>IF($W103&lt;$X103,$X103-$W103,"Pass")</f>
        <v>#REF!</v>
      </c>
      <c r="AA103" s="492" t="e">
        <f>IF($W103&gt;$Y103,$W103-$Y103,"Pass")</f>
        <v>#REF!</v>
      </c>
      <c r="AB103" s="490">
        <f t="shared" si="68"/>
        <v>4498.68</v>
      </c>
      <c r="AC103" s="469" t="e">
        <f>$AB103+IF($B$2="mil",1,0.0254)*$C51</f>
        <v>#REF!</v>
      </c>
      <c r="AD103" s="469" t="e">
        <f>$AE$84 + IF($B$2="mil",1,0.0254)*DDR2Specs!$E$9</f>
        <v>#REF!</v>
      </c>
      <c r="AE103" s="469" t="e">
        <f>$AD$84 + IF($B$2="mil",1,0.0254)*DDR2Specs!$F$9</f>
        <v>#REF!</v>
      </c>
      <c r="AF103" s="491" t="e">
        <f>IF($AC103&lt;$AD103,$AD103-$AC103,"Pass")</f>
        <v>#REF!</v>
      </c>
      <c r="AG103" s="492" t="e">
        <f>IF($AC103&gt;$AE103,$AC103-$AE103,"Pass")</f>
        <v>#REF!</v>
      </c>
      <c r="AH103" s="2"/>
      <c r="AI103" s="2"/>
      <c r="AJ103" s="2"/>
      <c r="AK103" s="2"/>
      <c r="AL103" s="511" t="s">
        <v>104</v>
      </c>
      <c r="AM103" s="504" t="e">
        <f>IF(P51&lt;=IF($B$2="mil",1,0.0254)*1000,"Pass",IF($B$2="mil",1,0.0254)*1000-P51)</f>
        <v>#REF!</v>
      </c>
      <c r="AN103" s="507" t="s">
        <v>104</v>
      </c>
      <c r="AO103" s="474" t="e">
        <f>IF($Q103&lt;=IF($B$2="mil",1,0.0254)*1000,"Pass",IF($B$2="mil",1,0.0254)*1000-$Q103)</f>
        <v>#REF!</v>
      </c>
      <c r="AQ103" s="473" t="e">
        <f>IF($R103&lt;=IF($B$2="mil",1,0.0254)*750,"Pass",IF($B$2="mil",1,0.0254)*750-$R103)</f>
        <v>#REF!</v>
      </c>
      <c r="AR103" s="473" t="e">
        <f>IF($S103&lt;=IF($B$2="mil",1,0.0254)*750,"Pass",IF($B$2="mil",1,0.0254)*750-$S103)</f>
        <v>#REF!</v>
      </c>
      <c r="AS103" s="473" t="e">
        <f t="shared" ca="1" si="79"/>
        <v>#NAME?</v>
      </c>
      <c r="AT103" s="473" t="e">
        <f t="shared" ca="1" si="79"/>
        <v>#NAME?</v>
      </c>
      <c r="AU103" s="473" t="e">
        <f>IF(AND(V103&gt;=IF($B$2="mil",1,0.0254)*500, $V103&lt;=IF($B$2="mil",1,0.0254)*6500),"Pass",IF($B$2="mil",1,0.0254)*6500-$V103)</f>
        <v>#REF!</v>
      </c>
      <c r="AV103" s="504" t="e">
        <f>IF(AND($W103&gt;=IF($B$2="mil",1,0.0254)*500, $W103&lt;=IF($B$2="mil",1,0.0254)*7000),"Pass",IF($B$2="mil",1,0.0254)*7000-$W103)</f>
        <v>#REF!</v>
      </c>
      <c r="AW103" s="473" t="e">
        <f>IF(AND($AB103&gt;=IF($B$2="mil",1,0.0254)*500, $AB103&lt;=IF($B$2="mil",1,0.0254)*6500),"Pass",IF($B$2="mil",1,0.0254)*6500-$AB103)</f>
        <v>#REF!</v>
      </c>
      <c r="AX103" s="474" t="e">
        <f>IF(AND($AC103&gt;=IF($B$2="mil",1,0.0254)*500, $AC103&lt;=IF($B$2="mil",1,0.0254)*7000),"Pass",IF($B$2="mil",1,0.0254)*7000-$AC103)</f>
        <v>#REF!</v>
      </c>
      <c r="AY103" s="4" t="e">
        <f t="shared" ca="1" si="78"/>
        <v>#REF!</v>
      </c>
      <c r="AZ103" s="2"/>
    </row>
    <row r="104" spans="5:52" x14ac:dyDescent="0.2">
      <c r="P104" s="389" t="s">
        <v>279</v>
      </c>
      <c r="Q104" s="298"/>
      <c r="R104" s="182"/>
      <c r="S104" s="182"/>
      <c r="T104" s="388"/>
      <c r="U104" s="388"/>
      <c r="V104" s="182"/>
      <c r="W104" s="182"/>
      <c r="X104" s="182"/>
      <c r="Y104" s="515"/>
      <c r="Z104" s="385"/>
      <c r="AA104" s="385"/>
      <c r="AB104" s="182"/>
      <c r="AC104" s="182"/>
      <c r="AD104" s="182"/>
      <c r="AE104" s="182"/>
      <c r="AF104" s="385"/>
      <c r="AG104" s="385"/>
      <c r="AH104" s="2"/>
      <c r="AI104" s="2"/>
      <c r="AJ104" s="2"/>
      <c r="AK104" s="2"/>
      <c r="AL104" s="134" t="s">
        <v>279</v>
      </c>
      <c r="AM104" s="506"/>
      <c r="AN104" s="134" t="s">
        <v>279</v>
      </c>
      <c r="AO104" s="494"/>
      <c r="AQ104" s="385"/>
      <c r="AR104" s="385"/>
      <c r="AS104" s="385"/>
      <c r="AT104" s="385"/>
      <c r="AU104" s="385"/>
      <c r="AV104" s="506"/>
      <c r="AW104" s="385"/>
      <c r="AX104" s="494"/>
      <c r="AY104" s="2"/>
      <c r="AZ104" s="2"/>
    </row>
    <row r="105" spans="5:52" x14ac:dyDescent="0.2">
      <c r="P105" s="161" t="s">
        <v>106</v>
      </c>
      <c r="Q105" s="270">
        <v>564.66</v>
      </c>
      <c r="R105" s="303">
        <v>350</v>
      </c>
      <c r="S105" s="364">
        <v>400</v>
      </c>
      <c r="T105" s="364">
        <v>50</v>
      </c>
      <c r="U105" s="364">
        <v>50</v>
      </c>
      <c r="V105" s="490">
        <f t="shared" si="66"/>
        <v>4272.1499999999996</v>
      </c>
      <c r="W105" s="469" t="e">
        <f>$V105+IF($B$2="mil",1,0.0254)*$C53</f>
        <v>#REF!</v>
      </c>
      <c r="X105" s="469" t="e">
        <f>$Y$84 + IF($B$2="mil",1,0.0254)*DDR2Specs!$E$9</f>
        <v>#REF!</v>
      </c>
      <c r="Y105" s="492" t="e">
        <f>$X$84 + IF($B$2="mil",1,0.0254)*DDR2Specs!$F$9</f>
        <v>#REF!</v>
      </c>
      <c r="Z105" s="491" t="e">
        <f>IF($W105&lt;$X105,$X105-$W105,"Pass")</f>
        <v>#REF!</v>
      </c>
      <c r="AA105" s="492" t="e">
        <f>IF($W105&gt;$Y105,$W105-$Y105,"Pass")</f>
        <v>#REF!</v>
      </c>
      <c r="AB105" s="490">
        <f t="shared" si="68"/>
        <v>4322.1499999999996</v>
      </c>
      <c r="AC105" s="469" t="e">
        <f>$AB105+IF($B$2="mil",1,0.0254)*$C53</f>
        <v>#REF!</v>
      </c>
      <c r="AD105" s="469" t="e">
        <f>$AE$84 + IF($B$2="mil",1,0.0254)*DDR2Specs!$E$9</f>
        <v>#REF!</v>
      </c>
      <c r="AE105" s="469" t="e">
        <f>$AD$84 + IF($B$2="mil",1,0.0254)*DDR2Specs!$F$9</f>
        <v>#REF!</v>
      </c>
      <c r="AF105" s="491" t="e">
        <f>IF($AC105&lt;$AD105,$AD105-$AC105,"Pass")</f>
        <v>#REF!</v>
      </c>
      <c r="AG105" s="492" t="e">
        <f>IF($AC105&gt;$AE105,$AC105-$AE105,"Pass")</f>
        <v>#REF!</v>
      </c>
      <c r="AH105" s="2"/>
      <c r="AI105" s="2"/>
      <c r="AJ105" s="2"/>
      <c r="AK105" s="2"/>
      <c r="AL105" s="509" t="s">
        <v>106</v>
      </c>
      <c r="AM105" s="504" t="e">
        <f>IF(P53&lt;=IF($B$2="mil",1,0.0254)*1000,"Pass",IF($B$2="mil",1,0.0254)*1000-P53)</f>
        <v>#REF!</v>
      </c>
      <c r="AN105" s="503" t="s">
        <v>106</v>
      </c>
      <c r="AO105" s="474" t="e">
        <f>IF($Q105&lt;=IF($B$2="mil",1,0.0254)*1000,"Pass",IF($B$2="mil",1,0.0254)*1000-$Q105)</f>
        <v>#REF!</v>
      </c>
      <c r="AQ105" s="473" t="e">
        <f>IF($R105&lt;=IF($B$2="mil",1,0.0254)*750,"Pass",IF($B$2="mil",1,0.0254)*750-$R105)</f>
        <v>#REF!</v>
      </c>
      <c r="AR105" s="473" t="e">
        <f>IF($S105&lt;=IF($B$2="mil",1,0.0254)*750,"Pass",IF($B$2="mil",1,0.0254)*750-$S105)</f>
        <v>#REF!</v>
      </c>
      <c r="AS105" s="473" t="e">
        <f t="shared" ref="AS105:AT107" ca="1" si="80">CheckLength2(IF($B$2="mil",1,0.0254)*950,R105,T105,0)</f>
        <v>#NAME?</v>
      </c>
      <c r="AT105" s="473" t="e">
        <f t="shared" ca="1" si="80"/>
        <v>#NAME?</v>
      </c>
      <c r="AU105" s="473" t="e">
        <f>IF(AND(V105&gt;=IF($B$2="mil",1,0.0254)*500, $V105&lt;=IF($B$2="mil",1,0.0254)*6500),"Pass",IF($B$2="mil",1,0.0254)*6500-$V105)</f>
        <v>#REF!</v>
      </c>
      <c r="AV105" s="504" t="e">
        <f>IF(AND($W105&gt;=IF($B$2="mil",1,0.0254)*500, $W105&lt;=IF($B$2="mil",1,0.0254)*7000),"Pass",IF($B$2="mil",1,0.0254)*7000-$W105)</f>
        <v>#REF!</v>
      </c>
      <c r="AW105" s="473" t="e">
        <f>IF(AND($AB105&gt;=IF($B$2="mil",1,0.0254)*500, $AB105&lt;=IF($B$2="mil",1,0.0254)*6500),"Pass",IF($B$2="mil",1,0.0254)*6500-$AB105)</f>
        <v>#REF!</v>
      </c>
      <c r="AX105" s="474" t="e">
        <f>IF(AND($AC105&gt;=IF($B$2="mil",1,0.0254)*500, $AC105&lt;=IF($B$2="mil",1,0.0254)*7000),"Pass",IF($B$2="mil",1,0.0254)*7000-$AC105)</f>
        <v>#REF!</v>
      </c>
      <c r="AY105" s="4" t="e">
        <f t="shared" ca="1" si="78"/>
        <v>#REF!</v>
      </c>
      <c r="AZ105" s="2"/>
    </row>
    <row r="106" spans="5:52" x14ac:dyDescent="0.2">
      <c r="P106" s="214" t="s">
        <v>107</v>
      </c>
      <c r="Q106" s="270">
        <v>578.77</v>
      </c>
      <c r="R106" s="303">
        <v>350</v>
      </c>
      <c r="S106" s="364">
        <v>400</v>
      </c>
      <c r="T106" s="364">
        <v>50</v>
      </c>
      <c r="U106" s="364">
        <v>50</v>
      </c>
      <c r="V106" s="490">
        <f t="shared" si="66"/>
        <v>4260.45</v>
      </c>
      <c r="W106" s="469" t="e">
        <f>$V106+IF($B$2="mil",1,0.0254)*$C54</f>
        <v>#REF!</v>
      </c>
      <c r="X106" s="469" t="e">
        <f>$Y$84 + IF($B$2="mil",1,0.0254)*DDR2Specs!$E$9</f>
        <v>#REF!</v>
      </c>
      <c r="Y106" s="492" t="e">
        <f>$X$84 + IF($B$2="mil",1,0.0254)*DDR2Specs!$F$9</f>
        <v>#REF!</v>
      </c>
      <c r="Z106" s="491" t="e">
        <f>IF($W106&lt;$X106,$X106-$W106,"Pass")</f>
        <v>#REF!</v>
      </c>
      <c r="AA106" s="492" t="e">
        <f>IF($W106&gt;$Y106,$W106-$Y106,"Pass")</f>
        <v>#REF!</v>
      </c>
      <c r="AB106" s="490">
        <f t="shared" si="68"/>
        <v>4310.45</v>
      </c>
      <c r="AC106" s="469" t="e">
        <f>$AB106+IF($B$2="mil",1,0.0254)*$C54</f>
        <v>#REF!</v>
      </c>
      <c r="AD106" s="469" t="e">
        <f>$AE$84 + IF($B$2="mil",1,0.0254)*DDR2Specs!$E$9</f>
        <v>#REF!</v>
      </c>
      <c r="AE106" s="469" t="e">
        <f>$AD$84 + IF($B$2="mil",1,0.0254)*DDR2Specs!$F$9</f>
        <v>#REF!</v>
      </c>
      <c r="AF106" s="491" t="e">
        <f>IF($AC106&lt;$AD106,$AD106-$AC106,"Pass")</f>
        <v>#REF!</v>
      </c>
      <c r="AG106" s="492" t="e">
        <f>IF($AC106&gt;$AE106,$AC106-$AE106,"Pass")</f>
        <v>#REF!</v>
      </c>
      <c r="AH106" s="2"/>
      <c r="AI106" s="2"/>
      <c r="AJ106" s="2"/>
      <c r="AK106" s="2"/>
      <c r="AL106" s="510" t="s">
        <v>107</v>
      </c>
      <c r="AM106" s="504" t="e">
        <f>IF(P54&lt;=IF($B$2="mil",1,0.0254)*1000,"Pass",IF($B$2="mil",1,0.0254)*1000-P54)</f>
        <v>#REF!</v>
      </c>
      <c r="AN106" s="505" t="s">
        <v>107</v>
      </c>
      <c r="AO106" s="474" t="e">
        <f>IF($Q106&lt;=IF($B$2="mil",1,0.0254)*1000,"Pass",IF($B$2="mil",1,0.0254)*1000-$Q106)</f>
        <v>#REF!</v>
      </c>
      <c r="AQ106" s="473" t="e">
        <f>IF($R106&lt;=IF($B$2="mil",1,0.0254)*750,"Pass",IF($B$2="mil",1,0.0254)*750-$R106)</f>
        <v>#REF!</v>
      </c>
      <c r="AR106" s="473" t="e">
        <f>IF($S106&lt;=IF($B$2="mil",1,0.0254)*750,"Pass",IF($B$2="mil",1,0.0254)*750-$S106)</f>
        <v>#REF!</v>
      </c>
      <c r="AS106" s="473" t="e">
        <f t="shared" ca="1" si="80"/>
        <v>#NAME?</v>
      </c>
      <c r="AT106" s="473" t="e">
        <f t="shared" ca="1" si="80"/>
        <v>#NAME?</v>
      </c>
      <c r="AU106" s="473" t="e">
        <f>IF(AND(V106&gt;=IF($B$2="mil",1,0.0254)*500, $V106&lt;=IF($B$2="mil",1,0.0254)*6500),"Pass",IF($B$2="mil",1,0.0254)*6500-$V106)</f>
        <v>#REF!</v>
      </c>
      <c r="AV106" s="504" t="e">
        <f>IF(AND($W106&gt;=IF($B$2="mil",1,0.0254)*500, $W106&lt;=IF($B$2="mil",1,0.0254)*7000),"Pass",IF($B$2="mil",1,0.0254)*7000-$W106)</f>
        <v>#REF!</v>
      </c>
      <c r="AW106" s="473" t="e">
        <f>IF(AND($AB106&gt;=IF($B$2="mil",1,0.0254)*500, $AB106&lt;=IF($B$2="mil",1,0.0254)*6500),"Pass",IF($B$2="mil",1,0.0254)*6500-$AB106)</f>
        <v>#REF!</v>
      </c>
      <c r="AX106" s="474" t="e">
        <f>IF(AND($AC106&gt;=IF($B$2="mil",1,0.0254)*500, $AC106&lt;=IF($B$2="mil",1,0.0254)*7000),"Pass",IF($B$2="mil",1,0.0254)*7000-$AC106)</f>
        <v>#REF!</v>
      </c>
      <c r="AY106" s="4" t="e">
        <f t="shared" ca="1" si="78"/>
        <v>#REF!</v>
      </c>
      <c r="AZ106" s="2"/>
    </row>
    <row r="107" spans="5:52" x14ac:dyDescent="0.2">
      <c r="P107" s="214" t="s">
        <v>108</v>
      </c>
      <c r="Q107" s="270">
        <v>574.72</v>
      </c>
      <c r="R107" s="303">
        <v>300</v>
      </c>
      <c r="S107" s="364">
        <v>400</v>
      </c>
      <c r="T107" s="364">
        <v>50</v>
      </c>
      <c r="U107" s="364">
        <v>50</v>
      </c>
      <c r="V107" s="490">
        <f t="shared" si="66"/>
        <v>4140.1099999999997</v>
      </c>
      <c r="W107" s="469" t="e">
        <f>$V107+IF($B$2="mil",1,0.0254)*$C55</f>
        <v>#REF!</v>
      </c>
      <c r="X107" s="469" t="e">
        <f>$Y$84 + IF($B$2="mil",1,0.0254)*DDR2Specs!$E$9</f>
        <v>#REF!</v>
      </c>
      <c r="Y107" s="492" t="e">
        <f>$X$84 + IF($B$2="mil",1,0.0254)*DDR2Specs!$F$9</f>
        <v>#REF!</v>
      </c>
      <c r="Z107" s="491" t="e">
        <f>IF($W107&lt;$X107,$X107-$W107,"Pass")</f>
        <v>#REF!</v>
      </c>
      <c r="AA107" s="492" t="e">
        <f>IF($W107&gt;$Y107,$W107-$Y107,"Pass")</f>
        <v>#REF!</v>
      </c>
      <c r="AB107" s="490">
        <f t="shared" si="68"/>
        <v>4240.1099999999997</v>
      </c>
      <c r="AC107" s="469" t="e">
        <f>$AB107+IF($B$2="mil",1,0.0254)*$C55</f>
        <v>#REF!</v>
      </c>
      <c r="AD107" s="469" t="e">
        <f>$AE$84 + IF($B$2="mil",1,0.0254)*DDR2Specs!$E$9</f>
        <v>#REF!</v>
      </c>
      <c r="AE107" s="469" t="e">
        <f>$AD$84 + IF($B$2="mil",1,0.0254)*DDR2Specs!$F$9</f>
        <v>#REF!</v>
      </c>
      <c r="AF107" s="491" t="e">
        <f>IF($AC107&lt;$AD107,$AD107-$AC107,"Pass")</f>
        <v>#REF!</v>
      </c>
      <c r="AG107" s="492" t="e">
        <f>IF($AC107&gt;$AE107,$AC107-$AE107,"Pass")</f>
        <v>#REF!</v>
      </c>
      <c r="AH107" s="2"/>
      <c r="AI107" s="2"/>
      <c r="AJ107" s="2"/>
      <c r="AK107" s="2"/>
      <c r="AL107" s="510" t="s">
        <v>108</v>
      </c>
      <c r="AM107" s="504" t="e">
        <f>IF(P55&lt;=IF($B$2="mil",1,0.0254)*1000,"Pass",IF($B$2="mil",1,0.0254)*1000-P55)</f>
        <v>#REF!</v>
      </c>
      <c r="AN107" s="505" t="s">
        <v>108</v>
      </c>
      <c r="AO107" s="474" t="e">
        <f>IF($Q107&lt;=IF($B$2="mil",1,0.0254)*1000,"Pass",IF($B$2="mil",1,0.0254)*1000-$Q107)</f>
        <v>#REF!</v>
      </c>
      <c r="AQ107" s="473" t="e">
        <f>IF($R107&lt;=IF($B$2="mil",1,0.0254)*750,"Pass",IF($B$2="mil",1,0.0254)*750-$R107)</f>
        <v>#REF!</v>
      </c>
      <c r="AR107" s="473" t="e">
        <f>IF($S107&lt;=IF($B$2="mil",1,0.0254)*750,"Pass",IF($B$2="mil",1,0.0254)*750-$S107)</f>
        <v>#REF!</v>
      </c>
      <c r="AS107" s="473" t="e">
        <f t="shared" ca="1" si="80"/>
        <v>#NAME?</v>
      </c>
      <c r="AT107" s="473" t="e">
        <f t="shared" ca="1" si="80"/>
        <v>#NAME?</v>
      </c>
      <c r="AU107" s="473" t="e">
        <f>IF(AND(V107&gt;=IF($B$2="mil",1,0.0254)*500, $V107&lt;=IF($B$2="mil",1,0.0254)*6500),"Pass",IF($B$2="mil",1,0.0254)*6500-$V107)</f>
        <v>#REF!</v>
      </c>
      <c r="AV107" s="504" t="e">
        <f>IF(AND($W107&gt;=IF($B$2="mil",1,0.0254)*500, $W107&lt;=IF($B$2="mil",1,0.0254)*7000),"Pass",IF($B$2="mil",1,0.0254)*7000-$W107)</f>
        <v>#REF!</v>
      </c>
      <c r="AW107" s="473" t="e">
        <f>IF(AND($AB107&gt;=IF($B$2="mil",1,0.0254)*500, $AB107&lt;=IF($B$2="mil",1,0.0254)*6500),"Pass",IF($B$2="mil",1,0.0254)*6500-$AB107)</f>
        <v>#REF!</v>
      </c>
      <c r="AX107" s="474" t="e">
        <f>IF(AND($AC107&gt;=IF($B$2="mil",1,0.0254)*500, $AC107&lt;=IF($B$2="mil",1,0.0254)*7000),"Pass",IF($B$2="mil",1,0.0254)*7000-$AC107)</f>
        <v>#REF!</v>
      </c>
      <c r="AY107" s="4" t="e">
        <f t="shared" ca="1" si="78"/>
        <v>#REF!</v>
      </c>
      <c r="AZ107" s="2"/>
    </row>
    <row r="108" spans="5:52" ht="60" customHeight="1" x14ac:dyDescent="0.2">
      <c r="P108" s="289" t="s">
        <v>494</v>
      </c>
      <c r="Q108" s="123" t="e">
        <f>"Trace L7-4 ["&amp;$B$2&amp;"]"</f>
        <v>#REF!</v>
      </c>
      <c r="R108" s="123" t="e">
        <f>"Trace L8-7 to U4 ["&amp;$B$2&amp;"]"</f>
        <v>#REF!</v>
      </c>
      <c r="S108" s="123" t="e">
        <f>"Trace L8-8 to U8 ["&amp;$B$2&amp;"]"</f>
        <v>#REF!</v>
      </c>
      <c r="T108" s="123" t="e">
        <f>"Trace L9-7 to U4 ["&amp;$B$2&amp;"]"</f>
        <v>#REF!</v>
      </c>
      <c r="U108" s="123" t="e">
        <f>"Trace L9-8 to U8 ["&amp;$B$2&amp;"]"</f>
        <v>#REF!</v>
      </c>
      <c r="V108" s="495" t="e">
        <f>"Total MB Length to U4 (L0+L1+L2+L5+L6-2+L7-4+L8-7+L9-7) ["&amp;$B$2&amp;"]"</f>
        <v>#REF!</v>
      </c>
      <c r="W108" s="495" t="e">
        <f>"Total Pad to Pin U4 (P1+LL0+L1+L2+L5+L6-2+L7-4+L8-7+L9-7) ["&amp;$B$2&amp;"]"</f>
        <v>#REF!</v>
      </c>
      <c r="X108" s="496" t="e">
        <f>"Target Min Length  to U4
["&amp;$B$2&amp;"]"</f>
        <v>#REF!</v>
      </c>
      <c r="Y108" s="497" t="e">
        <f>"Target Max Length  to U4 
["&amp;$B$2&amp;"]"</f>
        <v>#REF!</v>
      </c>
      <c r="Z108" s="498" t="e">
        <f>"Routed Too Short to U4 [" &amp;$B$2&amp;"]"</f>
        <v>#REF!</v>
      </c>
      <c r="AA108" s="496" t="e">
        <f>"Routed Too Long to U4 [" &amp;$B$2&amp;"]"</f>
        <v>#REF!</v>
      </c>
      <c r="AB108" s="495" t="e">
        <f>"Total MB Length to U8 (L0+L1+L2+L5+L6-2+L7-4+L8-8+L9-8) ["&amp;$B$2&amp;"]"</f>
        <v>#REF!</v>
      </c>
      <c r="AC108" s="495" t="e">
        <f>"Total Pad to Pin U8 (P1+L0+L1+L2+L5+L6-2+L7-4+L8-8+L9-8) ["&amp;$B$2&amp;"]"</f>
        <v>#REF!</v>
      </c>
      <c r="AD108" s="496" t="e">
        <f>"Target Min Length  to U8
["&amp;$B$2&amp;"]"</f>
        <v>#REF!</v>
      </c>
      <c r="AE108" s="497" t="e">
        <f>"Target Max Length  to U8 
["&amp;$B$2&amp;"]"</f>
        <v>#REF!</v>
      </c>
      <c r="AF108" s="498" t="e">
        <f>"Routed Too Short to U8 [" &amp;$B$2&amp;"]"</f>
        <v>#REF!</v>
      </c>
      <c r="AG108" s="496" t="e">
        <f>"Routed Too Long to U8 [" &amp;$B$2&amp;"]"</f>
        <v>#REF!</v>
      </c>
      <c r="AH108" s="2"/>
      <c r="AI108" s="2"/>
      <c r="AJ108" s="2"/>
      <c r="AK108" s="2"/>
      <c r="AL108" s="2"/>
      <c r="AM108" s="2"/>
      <c r="AN108" s="512" t="s">
        <v>494</v>
      </c>
      <c r="AO108" s="497" t="e">
        <f>"L7-4 Length Test (&lt;=" &amp; IF($B$2="mil",1,0.0254)*1000&amp;$B$2&amp;")"</f>
        <v>#REF!</v>
      </c>
      <c r="AP108" s="2"/>
      <c r="AQ108" s="500" t="e">
        <f>"L8-7 Length Test (&lt;=" &amp; IF($B$2="mil",1,0.0254)*750&amp;$B$2&amp;")"</f>
        <v>#REF!</v>
      </c>
      <c r="AR108" s="500" t="e">
        <f>"L8-8 Length Test (&lt;=" &amp; IF($B$2="mil",1,0.0254)*750&amp;$B$2&amp;")"</f>
        <v>#REF!</v>
      </c>
      <c r="AS108" s="500" t="e">
        <f>"L9-7 Length Test (&lt;=" &amp; IF($B$2="mil",1,0.0254)*200&amp;$B$2&amp;") or (L8-7+L9-7&lt;= "&amp;IF($B$2="mil",1,0.0254)*950&amp;$B$2&amp;")"</f>
        <v>#REF!</v>
      </c>
      <c r="AT108" s="500" t="e">
        <f>"L9-8 Length Test (&lt;=" &amp; IF($B$2="mil",1,0.0254)*200&amp;$B$2&amp;") or (L8-8+L9-8&lt;= "&amp;IF($B$2="mil",1,0.0254)*950&amp;$B$2&amp;")"</f>
        <v>#REF!</v>
      </c>
      <c r="AU108" s="497" t="e">
        <f>"Total Length to U4 (L0+L1+L2+L5+L6-2+L7-4+L8-7+L9-7) Test
 ("&amp;IF($B$2="mil",1,0.0254)*500&amp;"-"&amp;IF($B$2="mil",1,0.0254)*6500&amp;IF($B$2="mil","mil","mm")&amp;")"</f>
        <v>#REF!</v>
      </c>
      <c r="AV108" s="497" t="e">
        <f>"Total Length to U4 (P1+L0+L1+L2+L5+L6-2+L7-4+L8-7+L9-7) Test
 (&lt;="&amp;IF($B$2="mil",1,25.4)*7000&amp;IF($B$2="mil","mil","mm")&amp;")"</f>
        <v>#REF!</v>
      </c>
      <c r="AW108" s="497" t="e">
        <f>"Total Length to U8 (L0+L1+L2+L5+L6-2+L7-4+L8-8+L9-8) Test
 ("&amp;IF($B$2="mil",1,0.0254)*500&amp;"-"&amp;IF($B$2="mil",1,0.0254)*6500&amp;IF($B$2="mil","mil","mm")&amp;")"</f>
        <v>#REF!</v>
      </c>
      <c r="AX108" s="497" t="e">
        <f>"Total Length to U8 (P1+L0+L1+L2+L5+L6-2+L7-4+L8-8+L9-8) Test
 (&lt;="&amp;IF($B$2="mil",1,25.4)*7000&amp;IF($B$2="mil","mil","mm")&amp;")"</f>
        <v>#REF!</v>
      </c>
      <c r="AY108" s="2"/>
      <c r="AZ108" s="2"/>
    </row>
    <row r="109" spans="5:52" x14ac:dyDescent="0.2">
      <c r="P109" s="134" t="s">
        <v>258</v>
      </c>
      <c r="Q109" s="135"/>
      <c r="R109" s="135"/>
      <c r="S109" s="135"/>
      <c r="T109" s="135"/>
      <c r="U109" s="135"/>
      <c r="V109" s="135"/>
      <c r="W109" s="135"/>
      <c r="X109" s="135"/>
      <c r="Y109" s="385"/>
      <c r="Z109" s="135"/>
      <c r="AA109" s="135"/>
      <c r="AB109" s="135"/>
      <c r="AC109" s="135"/>
      <c r="AD109" s="135"/>
      <c r="AE109" s="135"/>
      <c r="AF109" s="135"/>
      <c r="AG109" s="135"/>
      <c r="AH109" s="2"/>
      <c r="AI109" s="2"/>
      <c r="AJ109" s="2"/>
      <c r="AK109" s="2"/>
      <c r="AL109" s="2"/>
      <c r="AM109" s="2"/>
      <c r="AN109" s="134" t="s">
        <v>258</v>
      </c>
      <c r="AO109" s="137"/>
      <c r="AP109" s="2"/>
      <c r="AQ109" s="135"/>
      <c r="AR109" s="135"/>
      <c r="AS109" s="135"/>
      <c r="AT109" s="135"/>
      <c r="AU109" s="135"/>
      <c r="AV109" s="137"/>
      <c r="AW109" s="135"/>
      <c r="AX109" s="137"/>
      <c r="AY109" s="2"/>
      <c r="AZ109" s="2"/>
    </row>
    <row r="110" spans="5:52" x14ac:dyDescent="0.2">
      <c r="P110" s="235" t="s">
        <v>262</v>
      </c>
      <c r="Q110" s="143"/>
      <c r="R110" s="143"/>
      <c r="S110" s="143"/>
      <c r="T110" s="143"/>
      <c r="U110" s="143"/>
      <c r="V110" s="143"/>
      <c r="W110" s="502" t="s">
        <v>273</v>
      </c>
      <c r="X110" s="487" t="e">
        <f>MIN('DDR2 Clocks - 4L'!$O$17:$O$18)</f>
        <v>#REF!</v>
      </c>
      <c r="Y110" s="484" t="e">
        <f>MAX('DDR2 Clocks - 4L'!$O$17:$O$18)</f>
        <v>#REF!</v>
      </c>
      <c r="Z110" s="487"/>
      <c r="AA110" s="145"/>
      <c r="AB110" s="143"/>
      <c r="AC110" s="502" t="s">
        <v>335</v>
      </c>
      <c r="AD110" s="487" t="e">
        <f>MIN('DDR2 Clocks - 4L'!$O$19:$O$20)</f>
        <v>#REF!</v>
      </c>
      <c r="AE110" s="486" t="e">
        <f>MAX('DDR2 Clocks - 4L'!$O$19:$O$20)</f>
        <v>#REF!</v>
      </c>
      <c r="AF110" s="487"/>
      <c r="AG110" s="145"/>
      <c r="AH110" s="2"/>
      <c r="AI110" s="2"/>
      <c r="AJ110" s="2"/>
      <c r="AK110" s="2"/>
      <c r="AL110" s="2"/>
      <c r="AM110" s="2"/>
      <c r="AN110" s="141" t="s">
        <v>262</v>
      </c>
      <c r="AO110" s="484"/>
      <c r="AP110" s="2"/>
      <c r="AQ110" s="483"/>
      <c r="AR110" s="483"/>
      <c r="AS110" s="483"/>
      <c r="AT110" s="483"/>
      <c r="AU110" s="483"/>
      <c r="AV110" s="484"/>
      <c r="AW110" s="483"/>
      <c r="AX110" s="484"/>
      <c r="AY110" s="2"/>
      <c r="AZ110" s="2"/>
    </row>
    <row r="111" spans="5:52" x14ac:dyDescent="0.2">
      <c r="P111" s="180" t="s">
        <v>277</v>
      </c>
      <c r="Q111" s="157"/>
      <c r="R111" s="157"/>
      <c r="S111" s="157"/>
      <c r="T111" s="157"/>
      <c r="U111" s="157"/>
      <c r="V111" s="157"/>
      <c r="W111" s="157"/>
      <c r="X111" s="155"/>
      <c r="Y111" s="514"/>
      <c r="Z111" s="476"/>
      <c r="AA111" s="155"/>
      <c r="AB111" s="157"/>
      <c r="AC111" s="155"/>
      <c r="AD111" s="155"/>
      <c r="AE111" s="476"/>
      <c r="AF111" s="476"/>
      <c r="AG111" s="155"/>
      <c r="AH111" s="2"/>
      <c r="AI111" s="2"/>
      <c r="AJ111" s="2"/>
      <c r="AK111" s="2"/>
      <c r="AL111" s="2"/>
      <c r="AM111" s="2"/>
      <c r="AN111" s="134" t="s">
        <v>277</v>
      </c>
      <c r="AO111" s="244"/>
      <c r="AP111" s="2"/>
      <c r="AQ111" s="155"/>
      <c r="AR111" s="155"/>
      <c r="AS111" s="155"/>
      <c r="AT111" s="155"/>
      <c r="AU111" s="155"/>
      <c r="AV111" s="244"/>
      <c r="AW111" s="155"/>
      <c r="AX111" s="244"/>
      <c r="AY111" s="2"/>
      <c r="AZ111" s="2"/>
    </row>
    <row r="112" spans="5:52" x14ac:dyDescent="0.2">
      <c r="P112" s="162" t="s">
        <v>244</v>
      </c>
      <c r="Q112" s="270">
        <v>565.69000000000005</v>
      </c>
      <c r="R112" s="270">
        <v>500</v>
      </c>
      <c r="S112" s="270">
        <v>500</v>
      </c>
      <c r="T112" s="364">
        <v>50</v>
      </c>
      <c r="U112" s="364">
        <v>50</v>
      </c>
      <c r="V112" s="490">
        <f>SUM($E34:$G34,$M34,$Q112:$R112,$P34,$T112)</f>
        <v>4509.7299999999996</v>
      </c>
      <c r="W112" s="469" t="e">
        <f>$V112+IF($B$2="mil",1,0.0254)*$C34</f>
        <v>#REF!</v>
      </c>
      <c r="X112" s="469" t="e">
        <f>$Y$110 + IF($B$2="mil",1,0.0254)*DDR2Specs!$E$9</f>
        <v>#REF!</v>
      </c>
      <c r="Y112" s="492" t="e">
        <f>$X$110 + IF($B$2="mil",1,0.0254)*DDR2Specs!$F$9</f>
        <v>#REF!</v>
      </c>
      <c r="Z112" s="491" t="e">
        <f t="shared" ref="Z112:Z125" si="81">IF($W112&lt;$X112,$X112-$W112,"Pass")</f>
        <v>#REF!</v>
      </c>
      <c r="AA112" s="492" t="e">
        <f t="shared" ref="AA112:AA125" si="82">IF($W112&gt;$Y112,$W112-$Y112,"Pass")</f>
        <v>#REF!</v>
      </c>
      <c r="AB112" s="490">
        <f>SUM($E34:$G34,$M34,$Q112,$P34,$S112,$U112)</f>
        <v>4509.7299999999996</v>
      </c>
      <c r="AC112" s="469" t="e">
        <f>$AB112+IF($B$2="mil",1,0.0254)*$C34</f>
        <v>#REF!</v>
      </c>
      <c r="AD112" s="469" t="e">
        <f>$AE$110 + IF($B$2="mil",1,0.0254)*DDR2Specs!$E$9</f>
        <v>#REF!</v>
      </c>
      <c r="AE112" s="469" t="e">
        <f>$AD$110 + IF($B$2="mil",1,0.0254)*DDR2Specs!$F$9</f>
        <v>#REF!</v>
      </c>
      <c r="AF112" s="491" t="e">
        <f t="shared" ref="AF112:AF125" si="83">IF($AC112&lt;$AD112,$AD112-$AC112,"Pass")</f>
        <v>#REF!</v>
      </c>
      <c r="AG112" s="492" t="e">
        <f t="shared" ref="AG112:AG125" si="84">IF($AC112&gt;$AE112,$AC112-$AE112,"Pass")</f>
        <v>#REF!</v>
      </c>
      <c r="AH112" s="2"/>
      <c r="AI112" s="2"/>
      <c r="AJ112" s="2"/>
      <c r="AK112" s="2"/>
      <c r="AL112" s="2"/>
      <c r="AM112" s="2"/>
      <c r="AN112" s="509" t="s">
        <v>244</v>
      </c>
      <c r="AO112" s="504" t="e">
        <f>IF(Q112&lt;=IF($B$2="mil",1,0.0254)*1000,"Pass",IF($B$2="mil",1,0.0254)*1000-Q112)</f>
        <v>#REF!</v>
      </c>
      <c r="AP112" s="2"/>
      <c r="AQ112" s="473" t="e">
        <f t="shared" ref="AQ112:AQ125" si="85">IF($R112&lt;=IF($B$2="mil",1,0.0254)*750,"Pass",IF($B$2="mil",1,0.0254)*750-$R112)</f>
        <v>#REF!</v>
      </c>
      <c r="AR112" s="473" t="e">
        <f t="shared" ref="AR112:AR125" si="86">IF($S112&lt;=IF($B$2="mil",1,0.0254)*750,"Pass",IF($B$2="mil",1,0.0254)*750-$S112)</f>
        <v>#REF!</v>
      </c>
      <c r="AS112" s="473" t="e">
        <f ca="1">CheckLength2(IF($B$2="mil",1,0.0254)*950,R112,T112,0)</f>
        <v>#NAME?</v>
      </c>
      <c r="AT112" s="473" t="e">
        <f ca="1">CheckLength2(IF($B$2="mil",1,0.0254)*950,S112,U112,0)</f>
        <v>#NAME?</v>
      </c>
      <c r="AU112" s="473" t="e">
        <f>IF(AND(V112&gt;=IF($B$2="mil",1,0.0254)*500, $V112&lt;=IF($B$2="mil",1,0.0254)*6500),"Pass",IF($B$2="mil",1,0.0254)*6500-$V112)</f>
        <v>#REF!</v>
      </c>
      <c r="AV112" s="504" t="e">
        <f>IF(AND($W112&gt;=IF($B$2="mil",1,0.0254)*500, $W112&lt;=IF($B$2="mil",1,0.0254)*7000),"Pass",IF($B$2="mil",1,0.0254)*7000-$W112)</f>
        <v>#REF!</v>
      </c>
      <c r="AW112" s="473" t="e">
        <f>IF(AND($AB112&gt;=IF($B$2="mil",1,0.0254)*500, $AB112&lt;=IF($B$2="mil",1,0.0254)*6500),"Pass",IF($B$2="mil",1,0.0254)*6500-$AB112)</f>
        <v>#REF!</v>
      </c>
      <c r="AX112" s="474" t="e">
        <f>IF(AND($AC112&gt;=IF($B$2="mil",1,0.0254)*500, $AC112&lt;=IF($B$2="mil",1,0.0254)*7000),"Pass",IF($B$2="mil",1,0.0254)*7000-$AC112)</f>
        <v>#REF!</v>
      </c>
      <c r="AY112" s="4" t="e">
        <f ca="1">IF(AND(Z112="Pass",AA112="Pass",AF112="Pass",AG112="Pass",AO112="Pass",AQ112="Pass",AR112="Pass",AS112="Pass",AT112="Pass",AU112="Pass",AV112="Pass",AW112="Pass",AX112="Pass"),"Pass","Fail")</f>
        <v>#REF!</v>
      </c>
      <c r="AZ112" s="4" t="e">
        <f ca="1">IF(AND(AY112="Pass",AY113="Pass",AY114="Pass",AY115="Pass",AY116="Pass",AY117="Pass",AY118="Pass",AY119="Pass",AY120="Pass",AY121="Pass",AY122="Pass"),"Pass","Fail")</f>
        <v>#REF!</v>
      </c>
    </row>
    <row r="113" spans="16:52" x14ac:dyDescent="0.2">
      <c r="P113" s="217" t="s">
        <v>87</v>
      </c>
      <c r="Q113" s="270">
        <v>587.88</v>
      </c>
      <c r="R113" s="270">
        <v>500</v>
      </c>
      <c r="S113" s="270">
        <v>500</v>
      </c>
      <c r="T113" s="364">
        <v>50</v>
      </c>
      <c r="U113" s="364">
        <v>50</v>
      </c>
      <c r="V113" s="490">
        <f t="shared" ref="V113:V133" si="87">SUM($E35:$G35,$M35,$Q113:$R113,$P35,$T113)</f>
        <v>4369.49</v>
      </c>
      <c r="W113" s="469" t="e">
        <f t="shared" ref="W113:W125" si="88">$V113+IF($B$2="mil",1,0.0254)*$C35</f>
        <v>#REF!</v>
      </c>
      <c r="X113" s="469" t="e">
        <f>$Y$110 + IF($B$2="mil",1,0.0254)*DDR2Specs!$E$9</f>
        <v>#REF!</v>
      </c>
      <c r="Y113" s="492" t="e">
        <f>$X$110 + IF($B$2="mil",1,0.0254)*DDR2Specs!$F$9</f>
        <v>#REF!</v>
      </c>
      <c r="Z113" s="491" t="e">
        <f t="shared" si="81"/>
        <v>#REF!</v>
      </c>
      <c r="AA113" s="492" t="e">
        <f t="shared" si="82"/>
        <v>#REF!</v>
      </c>
      <c r="AB113" s="490">
        <f t="shared" ref="AB113:AB133" si="89">SUM($E35:$G35,$M35,$Q113,$P35,$S113,$U113)</f>
        <v>4369.49</v>
      </c>
      <c r="AC113" s="469" t="e">
        <f t="shared" ref="AC113:AC125" si="90">$AB113+IF($B$2="mil",1,0.0254)*$C35</f>
        <v>#REF!</v>
      </c>
      <c r="AD113" s="469" t="e">
        <f>$AE$110 + IF($B$2="mil",1,0.0254)*DDR2Specs!$E$9</f>
        <v>#REF!</v>
      </c>
      <c r="AE113" s="469" t="e">
        <f>$AD$110 + IF($B$2="mil",1,0.0254)*DDR2Specs!$F$9</f>
        <v>#REF!</v>
      </c>
      <c r="AF113" s="491" t="e">
        <f t="shared" si="83"/>
        <v>#REF!</v>
      </c>
      <c r="AG113" s="492" t="e">
        <f t="shared" si="84"/>
        <v>#REF!</v>
      </c>
      <c r="AH113" s="2"/>
      <c r="AI113" s="2"/>
      <c r="AJ113" s="2"/>
      <c r="AK113" s="2"/>
      <c r="AL113" s="2"/>
      <c r="AM113" s="2"/>
      <c r="AN113" s="510" t="s">
        <v>87</v>
      </c>
      <c r="AO113" s="504" t="e">
        <f t="shared" ref="AO113:AO125" si="91">IF(Q113&lt;=IF($B$2="mil",1,0.0254)*1000,"Pass",IF($B$2="mil",1,0.0254)*1000-Q113)</f>
        <v>#REF!</v>
      </c>
      <c r="AP113" s="2"/>
      <c r="AQ113" s="473" t="e">
        <f t="shared" si="85"/>
        <v>#REF!</v>
      </c>
      <c r="AR113" s="473" t="e">
        <f t="shared" si="86"/>
        <v>#REF!</v>
      </c>
      <c r="AS113" s="473" t="e">
        <f t="shared" ref="AS113:AS125" ca="1" si="92">CheckLength2(IF($B$2="mil",1,0.0254)*950,R113,T113,0)</f>
        <v>#NAME?</v>
      </c>
      <c r="AT113" s="473" t="e">
        <f t="shared" ref="AT113:AT125" ca="1" si="93">CheckLength2(IF($B$2="mil",1,0.0254)*950,S113,U113,0)</f>
        <v>#NAME?</v>
      </c>
      <c r="AU113" s="473" t="e">
        <f t="shared" ref="AU113:AU125" si="94">IF(AND(V113&gt;=IF($B$2="mil",1,0.0254)*500, $V113&lt;=IF($B$2="mil",1,0.0254)*6500),"Pass",IF($B$2="mil",1,0.0254)*6500-$V113)</f>
        <v>#REF!</v>
      </c>
      <c r="AV113" s="504" t="e">
        <f t="shared" ref="AV113:AV125" si="95">IF(AND($W113&gt;=IF($B$2="mil",1,0.0254)*500, $W113&lt;=IF($B$2="mil",1,0.0254)*7000),"Pass",IF($B$2="mil",1,0.0254)*7000-$W113)</f>
        <v>#REF!</v>
      </c>
      <c r="AW113" s="473" t="e">
        <f t="shared" ref="AW113:AW125" si="96">IF(AND($AB113&gt;=IF($B$2="mil",1,0.0254)*500, $AB113&lt;=IF($B$2="mil",1,0.0254)*6500),"Pass",IF($B$2="mil",1,0.0254)*6500-$AB113)</f>
        <v>#REF!</v>
      </c>
      <c r="AX113" s="474" t="e">
        <f t="shared" ref="AX113:AX125" si="97">IF(AND($AC113&gt;=IF($B$2="mil",1,0.0254)*500, $AC113&lt;=IF($B$2="mil",1,0.0254)*7000),"Pass",IF($B$2="mil",1,0.0254)*7000-$AC113)</f>
        <v>#REF!</v>
      </c>
      <c r="AY113" s="4" t="e">
        <f t="shared" ref="AY113:AY133" ca="1" si="98">IF(AND(Z113="Pass",AA113="Pass",AF113="Pass",AG113="Pass",AO113="Pass",AQ113="Pass",AR113="Pass",AS113="Pass",AT113="Pass",AU113="Pass",AV113="Pass",AW113="Pass",AX113="Pass"),"Pass","Fail")</f>
        <v>#REF!</v>
      </c>
      <c r="AZ113" s="4" t="e">
        <f ca="1">IF(AND(AY123="Pass",AY124="Pass",AY125="Pass",AY127="Pass",AY128="Pass",AY129="Pass",AY131="Pass",AY132="Pass",AY133="Pass"),"Pass","Fail")</f>
        <v>#REF!</v>
      </c>
    </row>
    <row r="114" spans="16:52" x14ac:dyDescent="0.2">
      <c r="P114" s="217" t="s">
        <v>88</v>
      </c>
      <c r="Q114" s="270">
        <v>565.69000000000005</v>
      </c>
      <c r="R114" s="270">
        <v>500</v>
      </c>
      <c r="S114" s="270">
        <v>500</v>
      </c>
      <c r="T114" s="364">
        <v>50</v>
      </c>
      <c r="U114" s="364">
        <v>50</v>
      </c>
      <c r="V114" s="490">
        <f t="shared" si="87"/>
        <v>5045.3899999999994</v>
      </c>
      <c r="W114" s="469" t="e">
        <f t="shared" si="88"/>
        <v>#REF!</v>
      </c>
      <c r="X114" s="469" t="e">
        <f>$Y$110 + IF($B$2="mil",1,0.0254)*DDR2Specs!$E$9</f>
        <v>#REF!</v>
      </c>
      <c r="Y114" s="492" t="e">
        <f>$X$110 + IF($B$2="mil",1,0.0254)*DDR2Specs!$F$9</f>
        <v>#REF!</v>
      </c>
      <c r="Z114" s="491" t="e">
        <f t="shared" si="81"/>
        <v>#REF!</v>
      </c>
      <c r="AA114" s="492" t="e">
        <f t="shared" si="82"/>
        <v>#REF!</v>
      </c>
      <c r="AB114" s="490">
        <f t="shared" si="89"/>
        <v>5045.3899999999994</v>
      </c>
      <c r="AC114" s="469" t="e">
        <f t="shared" si="90"/>
        <v>#REF!</v>
      </c>
      <c r="AD114" s="469" t="e">
        <f>$AE$110 + IF($B$2="mil",1,0.0254)*DDR2Specs!$E$9</f>
        <v>#REF!</v>
      </c>
      <c r="AE114" s="469" t="e">
        <f>$AD$110 + IF($B$2="mil",1,0.0254)*DDR2Specs!$F$9</f>
        <v>#REF!</v>
      </c>
      <c r="AF114" s="491" t="e">
        <f t="shared" si="83"/>
        <v>#REF!</v>
      </c>
      <c r="AG114" s="492" t="e">
        <f t="shared" si="84"/>
        <v>#REF!</v>
      </c>
      <c r="AH114" s="2"/>
      <c r="AI114" s="2"/>
      <c r="AJ114" s="2"/>
      <c r="AK114" s="2"/>
      <c r="AL114" s="2"/>
      <c r="AM114" s="2"/>
      <c r="AN114" s="510" t="s">
        <v>88</v>
      </c>
      <c r="AO114" s="504" t="e">
        <f t="shared" si="91"/>
        <v>#REF!</v>
      </c>
      <c r="AP114" s="2"/>
      <c r="AQ114" s="473" t="e">
        <f t="shared" si="85"/>
        <v>#REF!</v>
      </c>
      <c r="AR114" s="473" t="e">
        <f t="shared" si="86"/>
        <v>#REF!</v>
      </c>
      <c r="AS114" s="473" t="e">
        <f t="shared" ca="1" si="92"/>
        <v>#NAME?</v>
      </c>
      <c r="AT114" s="473" t="e">
        <f t="shared" ca="1" si="93"/>
        <v>#NAME?</v>
      </c>
      <c r="AU114" s="473" t="e">
        <f t="shared" si="94"/>
        <v>#REF!</v>
      </c>
      <c r="AV114" s="504" t="e">
        <f t="shared" si="95"/>
        <v>#REF!</v>
      </c>
      <c r="AW114" s="473" t="e">
        <f t="shared" si="96"/>
        <v>#REF!</v>
      </c>
      <c r="AX114" s="474" t="e">
        <f t="shared" si="97"/>
        <v>#REF!</v>
      </c>
      <c r="AY114" s="4" t="e">
        <f t="shared" ca="1" si="98"/>
        <v>#REF!</v>
      </c>
      <c r="AZ114" s="2"/>
    </row>
    <row r="115" spans="16:52" x14ac:dyDescent="0.2">
      <c r="P115" s="217" t="s">
        <v>89</v>
      </c>
      <c r="Q115" s="270">
        <v>579.26</v>
      </c>
      <c r="R115" s="270">
        <v>600</v>
      </c>
      <c r="S115" s="270">
        <v>600</v>
      </c>
      <c r="T115" s="364">
        <v>50</v>
      </c>
      <c r="U115" s="364">
        <v>50</v>
      </c>
      <c r="V115" s="490">
        <f t="shared" si="87"/>
        <v>4418.07</v>
      </c>
      <c r="W115" s="469" t="e">
        <f t="shared" si="88"/>
        <v>#REF!</v>
      </c>
      <c r="X115" s="469" t="e">
        <f>$Y$110 + IF($B$2="mil",1,0.0254)*DDR2Specs!$E$9</f>
        <v>#REF!</v>
      </c>
      <c r="Y115" s="492" t="e">
        <f>$X$110 + IF($B$2="mil",1,0.0254)*DDR2Specs!$F$9</f>
        <v>#REF!</v>
      </c>
      <c r="Z115" s="491" t="e">
        <f t="shared" si="81"/>
        <v>#REF!</v>
      </c>
      <c r="AA115" s="492" t="e">
        <f t="shared" si="82"/>
        <v>#REF!</v>
      </c>
      <c r="AB115" s="490">
        <f t="shared" si="89"/>
        <v>4418.07</v>
      </c>
      <c r="AC115" s="469" t="e">
        <f t="shared" si="90"/>
        <v>#REF!</v>
      </c>
      <c r="AD115" s="469" t="e">
        <f>$AE$110 + IF($B$2="mil",1,0.0254)*DDR2Specs!$E$9</f>
        <v>#REF!</v>
      </c>
      <c r="AE115" s="469" t="e">
        <f>$AD$110 + IF($B$2="mil",1,0.0254)*DDR2Specs!$F$9</f>
        <v>#REF!</v>
      </c>
      <c r="AF115" s="491" t="e">
        <f t="shared" si="83"/>
        <v>#REF!</v>
      </c>
      <c r="AG115" s="492" t="e">
        <f t="shared" si="84"/>
        <v>#REF!</v>
      </c>
      <c r="AH115" s="2"/>
      <c r="AI115" s="2"/>
      <c r="AJ115" s="2"/>
      <c r="AK115" s="2"/>
      <c r="AL115" s="2"/>
      <c r="AM115" s="2"/>
      <c r="AN115" s="510" t="s">
        <v>89</v>
      </c>
      <c r="AO115" s="504" t="e">
        <f t="shared" si="91"/>
        <v>#REF!</v>
      </c>
      <c r="AP115" s="2"/>
      <c r="AQ115" s="473" t="e">
        <f t="shared" si="85"/>
        <v>#REF!</v>
      </c>
      <c r="AR115" s="473" t="e">
        <f t="shared" si="86"/>
        <v>#REF!</v>
      </c>
      <c r="AS115" s="473" t="e">
        <f t="shared" ca="1" si="92"/>
        <v>#NAME?</v>
      </c>
      <c r="AT115" s="473" t="e">
        <f t="shared" ca="1" si="93"/>
        <v>#NAME?</v>
      </c>
      <c r="AU115" s="473" t="e">
        <f t="shared" si="94"/>
        <v>#REF!</v>
      </c>
      <c r="AV115" s="504" t="e">
        <f t="shared" si="95"/>
        <v>#REF!</v>
      </c>
      <c r="AW115" s="473" t="e">
        <f t="shared" si="96"/>
        <v>#REF!</v>
      </c>
      <c r="AX115" s="474" t="e">
        <f t="shared" si="97"/>
        <v>#REF!</v>
      </c>
      <c r="AY115" s="4" t="e">
        <f t="shared" ca="1" si="98"/>
        <v>#REF!</v>
      </c>
      <c r="AZ115" s="2"/>
    </row>
    <row r="116" spans="16:52" x14ac:dyDescent="0.2">
      <c r="P116" s="217" t="s">
        <v>90</v>
      </c>
      <c r="Q116" s="270">
        <v>624.74</v>
      </c>
      <c r="R116" s="270">
        <v>550</v>
      </c>
      <c r="S116" s="270">
        <v>500</v>
      </c>
      <c r="T116" s="364">
        <v>50</v>
      </c>
      <c r="U116" s="364">
        <v>50</v>
      </c>
      <c r="V116" s="490">
        <f t="shared" si="87"/>
        <v>5454.44</v>
      </c>
      <c r="W116" s="469" t="e">
        <f t="shared" si="88"/>
        <v>#REF!</v>
      </c>
      <c r="X116" s="469" t="e">
        <f>$Y$110 + IF($B$2="mil",1,0.0254)*DDR2Specs!$E$9</f>
        <v>#REF!</v>
      </c>
      <c r="Y116" s="492" t="e">
        <f>$X$110 + IF($B$2="mil",1,0.0254)*DDR2Specs!$F$9</f>
        <v>#REF!</v>
      </c>
      <c r="Z116" s="491" t="e">
        <f t="shared" si="81"/>
        <v>#REF!</v>
      </c>
      <c r="AA116" s="492" t="e">
        <f t="shared" si="82"/>
        <v>#REF!</v>
      </c>
      <c r="AB116" s="490">
        <f t="shared" si="89"/>
        <v>5404.44</v>
      </c>
      <c r="AC116" s="469" t="e">
        <f t="shared" si="90"/>
        <v>#REF!</v>
      </c>
      <c r="AD116" s="469" t="e">
        <f>$AE$110 + IF($B$2="mil",1,0.0254)*DDR2Specs!$E$9</f>
        <v>#REF!</v>
      </c>
      <c r="AE116" s="469" t="e">
        <f>$AD$110 + IF($B$2="mil",1,0.0254)*DDR2Specs!$F$9</f>
        <v>#REF!</v>
      </c>
      <c r="AF116" s="491" t="e">
        <f t="shared" si="83"/>
        <v>#REF!</v>
      </c>
      <c r="AG116" s="492" t="e">
        <f t="shared" si="84"/>
        <v>#REF!</v>
      </c>
      <c r="AH116" s="2"/>
      <c r="AI116" s="2"/>
      <c r="AJ116" s="2"/>
      <c r="AK116" s="2"/>
      <c r="AL116" s="2"/>
      <c r="AM116" s="2"/>
      <c r="AN116" s="510" t="s">
        <v>90</v>
      </c>
      <c r="AO116" s="504" t="e">
        <f t="shared" si="91"/>
        <v>#REF!</v>
      </c>
      <c r="AP116" s="2"/>
      <c r="AQ116" s="473" t="e">
        <f t="shared" si="85"/>
        <v>#REF!</v>
      </c>
      <c r="AR116" s="473" t="e">
        <f t="shared" si="86"/>
        <v>#REF!</v>
      </c>
      <c r="AS116" s="473" t="e">
        <f t="shared" ca="1" si="92"/>
        <v>#NAME?</v>
      </c>
      <c r="AT116" s="473" t="e">
        <f t="shared" ca="1" si="93"/>
        <v>#NAME?</v>
      </c>
      <c r="AU116" s="473" t="e">
        <f t="shared" si="94"/>
        <v>#REF!</v>
      </c>
      <c r="AV116" s="504" t="e">
        <f t="shared" si="95"/>
        <v>#REF!</v>
      </c>
      <c r="AW116" s="473" t="e">
        <f t="shared" si="96"/>
        <v>#REF!</v>
      </c>
      <c r="AX116" s="474" t="e">
        <f t="shared" si="97"/>
        <v>#REF!</v>
      </c>
      <c r="AY116" s="4" t="e">
        <f t="shared" ca="1" si="98"/>
        <v>#REF!</v>
      </c>
      <c r="AZ116" s="2"/>
    </row>
    <row r="117" spans="16:52" x14ac:dyDescent="0.2">
      <c r="P117" s="217" t="s">
        <v>91</v>
      </c>
      <c r="Q117" s="270">
        <v>610.85</v>
      </c>
      <c r="R117" s="270">
        <v>550</v>
      </c>
      <c r="S117" s="270">
        <v>500</v>
      </c>
      <c r="T117" s="364">
        <v>50</v>
      </c>
      <c r="U117" s="364">
        <v>50</v>
      </c>
      <c r="V117" s="490">
        <f t="shared" si="87"/>
        <v>4451.92</v>
      </c>
      <c r="W117" s="469" t="e">
        <f t="shared" si="88"/>
        <v>#REF!</v>
      </c>
      <c r="X117" s="469" t="e">
        <f>$Y$110 + IF($B$2="mil",1,0.0254)*DDR2Specs!$E$9</f>
        <v>#REF!</v>
      </c>
      <c r="Y117" s="492" t="e">
        <f>$X$110 + IF($B$2="mil",1,0.0254)*DDR2Specs!$F$9</f>
        <v>#REF!</v>
      </c>
      <c r="Z117" s="491" t="e">
        <f t="shared" si="81"/>
        <v>#REF!</v>
      </c>
      <c r="AA117" s="492" t="e">
        <f t="shared" si="82"/>
        <v>#REF!</v>
      </c>
      <c r="AB117" s="490">
        <f t="shared" si="89"/>
        <v>4401.92</v>
      </c>
      <c r="AC117" s="469" t="e">
        <f t="shared" si="90"/>
        <v>#REF!</v>
      </c>
      <c r="AD117" s="469" t="e">
        <f>$AE$110 + IF($B$2="mil",1,0.0254)*DDR2Specs!$E$9</f>
        <v>#REF!</v>
      </c>
      <c r="AE117" s="469" t="e">
        <f>$AD$110 + IF($B$2="mil",1,0.0254)*DDR2Specs!$F$9</f>
        <v>#REF!</v>
      </c>
      <c r="AF117" s="491" t="e">
        <f t="shared" si="83"/>
        <v>#REF!</v>
      </c>
      <c r="AG117" s="492" t="e">
        <f t="shared" si="84"/>
        <v>#REF!</v>
      </c>
      <c r="AH117" s="2"/>
      <c r="AI117" s="2"/>
      <c r="AJ117" s="2"/>
      <c r="AK117" s="2"/>
      <c r="AL117" s="2"/>
      <c r="AM117" s="2"/>
      <c r="AN117" s="510" t="s">
        <v>91</v>
      </c>
      <c r="AO117" s="504" t="e">
        <f t="shared" si="91"/>
        <v>#REF!</v>
      </c>
      <c r="AP117" s="2"/>
      <c r="AQ117" s="473" t="e">
        <f t="shared" si="85"/>
        <v>#REF!</v>
      </c>
      <c r="AR117" s="473" t="e">
        <f t="shared" si="86"/>
        <v>#REF!</v>
      </c>
      <c r="AS117" s="473" t="e">
        <f t="shared" ca="1" si="92"/>
        <v>#NAME?</v>
      </c>
      <c r="AT117" s="473" t="e">
        <f t="shared" ca="1" si="93"/>
        <v>#NAME?</v>
      </c>
      <c r="AU117" s="473" t="e">
        <f t="shared" si="94"/>
        <v>#REF!</v>
      </c>
      <c r="AV117" s="504" t="e">
        <f t="shared" si="95"/>
        <v>#REF!</v>
      </c>
      <c r="AW117" s="473" t="e">
        <f t="shared" si="96"/>
        <v>#REF!</v>
      </c>
      <c r="AX117" s="474" t="e">
        <f t="shared" si="97"/>
        <v>#REF!</v>
      </c>
      <c r="AY117" s="4" t="e">
        <f t="shared" ca="1" si="98"/>
        <v>#REF!</v>
      </c>
      <c r="AZ117" s="2"/>
    </row>
    <row r="118" spans="16:52" x14ac:dyDescent="0.2">
      <c r="P118" s="217" t="s">
        <v>92</v>
      </c>
      <c r="Q118" s="270">
        <v>604.02</v>
      </c>
      <c r="R118" s="270">
        <v>500</v>
      </c>
      <c r="S118" s="270">
        <v>500</v>
      </c>
      <c r="T118" s="364">
        <v>50</v>
      </c>
      <c r="U118" s="364">
        <v>50</v>
      </c>
      <c r="V118" s="490">
        <f t="shared" si="87"/>
        <v>4419.95</v>
      </c>
      <c r="W118" s="469" t="e">
        <f t="shared" si="88"/>
        <v>#REF!</v>
      </c>
      <c r="X118" s="469" t="e">
        <f>$Y$110 + IF($B$2="mil",1,0.0254)*DDR2Specs!$E$9</f>
        <v>#REF!</v>
      </c>
      <c r="Y118" s="492" t="e">
        <f>$X$110 + IF($B$2="mil",1,0.0254)*DDR2Specs!$F$9</f>
        <v>#REF!</v>
      </c>
      <c r="Z118" s="491" t="e">
        <f t="shared" si="81"/>
        <v>#REF!</v>
      </c>
      <c r="AA118" s="492" t="e">
        <f t="shared" si="82"/>
        <v>#REF!</v>
      </c>
      <c r="AB118" s="490">
        <f t="shared" si="89"/>
        <v>4419.95</v>
      </c>
      <c r="AC118" s="469" t="e">
        <f t="shared" si="90"/>
        <v>#REF!</v>
      </c>
      <c r="AD118" s="469" t="e">
        <f>$AE$110 + IF($B$2="mil",1,0.0254)*DDR2Specs!$E$9</f>
        <v>#REF!</v>
      </c>
      <c r="AE118" s="469" t="e">
        <f>$AD$110 + IF($B$2="mil",1,0.0254)*DDR2Specs!$F$9</f>
        <v>#REF!</v>
      </c>
      <c r="AF118" s="491" t="e">
        <f t="shared" si="83"/>
        <v>#REF!</v>
      </c>
      <c r="AG118" s="492" t="e">
        <f t="shared" si="84"/>
        <v>#REF!</v>
      </c>
      <c r="AH118" s="2"/>
      <c r="AI118" s="2"/>
      <c r="AJ118" s="2"/>
      <c r="AK118" s="2"/>
      <c r="AL118" s="2"/>
      <c r="AM118" s="2"/>
      <c r="AN118" s="510" t="s">
        <v>92</v>
      </c>
      <c r="AO118" s="504" t="e">
        <f t="shared" si="91"/>
        <v>#REF!</v>
      </c>
      <c r="AP118" s="2"/>
      <c r="AQ118" s="473" t="e">
        <f t="shared" si="85"/>
        <v>#REF!</v>
      </c>
      <c r="AR118" s="473" t="e">
        <f t="shared" si="86"/>
        <v>#REF!</v>
      </c>
      <c r="AS118" s="473" t="e">
        <f t="shared" ca="1" si="92"/>
        <v>#NAME?</v>
      </c>
      <c r="AT118" s="473" t="e">
        <f t="shared" ca="1" si="93"/>
        <v>#NAME?</v>
      </c>
      <c r="AU118" s="473" t="e">
        <f t="shared" si="94"/>
        <v>#REF!</v>
      </c>
      <c r="AV118" s="504" t="e">
        <f t="shared" si="95"/>
        <v>#REF!</v>
      </c>
      <c r="AW118" s="473" t="e">
        <f t="shared" si="96"/>
        <v>#REF!</v>
      </c>
      <c r="AX118" s="474" t="e">
        <f t="shared" si="97"/>
        <v>#REF!</v>
      </c>
      <c r="AY118" s="4" t="e">
        <f t="shared" ca="1" si="98"/>
        <v>#REF!</v>
      </c>
      <c r="AZ118" s="2"/>
    </row>
    <row r="119" spans="16:52" x14ac:dyDescent="0.2">
      <c r="P119" s="217" t="s">
        <v>94</v>
      </c>
      <c r="Q119" s="270">
        <v>596.35</v>
      </c>
      <c r="R119" s="270">
        <v>550</v>
      </c>
      <c r="S119" s="270">
        <v>500</v>
      </c>
      <c r="T119" s="364">
        <v>50</v>
      </c>
      <c r="U119" s="364">
        <v>50</v>
      </c>
      <c r="V119" s="490">
        <f t="shared" si="87"/>
        <v>4354.2999999999993</v>
      </c>
      <c r="W119" s="469" t="e">
        <f t="shared" si="88"/>
        <v>#REF!</v>
      </c>
      <c r="X119" s="469" t="e">
        <f>$Y$110 + IF($B$2="mil",1,0.0254)*DDR2Specs!$E$9</f>
        <v>#REF!</v>
      </c>
      <c r="Y119" s="492" t="e">
        <f>$X$110 + IF($B$2="mil",1,0.0254)*DDR2Specs!$F$9</f>
        <v>#REF!</v>
      </c>
      <c r="Z119" s="491" t="e">
        <f t="shared" si="81"/>
        <v>#REF!</v>
      </c>
      <c r="AA119" s="492" t="e">
        <f t="shared" si="82"/>
        <v>#REF!</v>
      </c>
      <c r="AB119" s="490">
        <f t="shared" si="89"/>
        <v>4304.2999999999993</v>
      </c>
      <c r="AC119" s="469" t="e">
        <f t="shared" si="90"/>
        <v>#REF!</v>
      </c>
      <c r="AD119" s="469" t="e">
        <f>$AE$110 + IF($B$2="mil",1,0.0254)*DDR2Specs!$E$9</f>
        <v>#REF!</v>
      </c>
      <c r="AE119" s="469" t="e">
        <f>$AD$110 + IF($B$2="mil",1,0.0254)*DDR2Specs!$F$9</f>
        <v>#REF!</v>
      </c>
      <c r="AF119" s="491" t="e">
        <f t="shared" si="83"/>
        <v>#REF!</v>
      </c>
      <c r="AG119" s="492" t="e">
        <f t="shared" si="84"/>
        <v>#REF!</v>
      </c>
      <c r="AH119" s="2"/>
      <c r="AI119" s="2"/>
      <c r="AJ119" s="2"/>
      <c r="AK119" s="2"/>
      <c r="AL119" s="2"/>
      <c r="AM119" s="2"/>
      <c r="AN119" s="510" t="s">
        <v>94</v>
      </c>
      <c r="AO119" s="504" t="e">
        <f t="shared" si="91"/>
        <v>#REF!</v>
      </c>
      <c r="AP119" s="2"/>
      <c r="AQ119" s="473" t="e">
        <f t="shared" si="85"/>
        <v>#REF!</v>
      </c>
      <c r="AR119" s="473" t="e">
        <f t="shared" si="86"/>
        <v>#REF!</v>
      </c>
      <c r="AS119" s="473" t="e">
        <f t="shared" ca="1" si="92"/>
        <v>#NAME?</v>
      </c>
      <c r="AT119" s="473" t="e">
        <f t="shared" ca="1" si="93"/>
        <v>#NAME?</v>
      </c>
      <c r="AU119" s="473" t="e">
        <f t="shared" si="94"/>
        <v>#REF!</v>
      </c>
      <c r="AV119" s="504" t="e">
        <f t="shared" si="95"/>
        <v>#REF!</v>
      </c>
      <c r="AW119" s="473" t="e">
        <f t="shared" si="96"/>
        <v>#REF!</v>
      </c>
      <c r="AX119" s="474" t="e">
        <f t="shared" si="97"/>
        <v>#REF!</v>
      </c>
      <c r="AY119" s="4" t="e">
        <f t="shared" ca="1" si="98"/>
        <v>#REF!</v>
      </c>
      <c r="AZ119" s="2"/>
    </row>
    <row r="120" spans="16:52" x14ac:dyDescent="0.2">
      <c r="P120" s="217" t="s">
        <v>95</v>
      </c>
      <c r="Q120" s="270">
        <v>615.67999999999995</v>
      </c>
      <c r="R120" s="270">
        <v>500</v>
      </c>
      <c r="S120" s="270">
        <v>500</v>
      </c>
      <c r="T120" s="364">
        <v>50</v>
      </c>
      <c r="U120" s="364">
        <v>50</v>
      </c>
      <c r="V120" s="490">
        <f t="shared" si="87"/>
        <v>4376.29</v>
      </c>
      <c r="W120" s="469" t="e">
        <f t="shared" si="88"/>
        <v>#REF!</v>
      </c>
      <c r="X120" s="469" t="e">
        <f>$Y$110 + IF($B$2="mil",1,0.0254)*DDR2Specs!$E$9</f>
        <v>#REF!</v>
      </c>
      <c r="Y120" s="492" t="e">
        <f>$X$110 + IF($B$2="mil",1,0.0254)*DDR2Specs!$F$9</f>
        <v>#REF!</v>
      </c>
      <c r="Z120" s="491" t="e">
        <f t="shared" si="81"/>
        <v>#REF!</v>
      </c>
      <c r="AA120" s="492" t="e">
        <f t="shared" si="82"/>
        <v>#REF!</v>
      </c>
      <c r="AB120" s="490">
        <f t="shared" si="89"/>
        <v>4376.29</v>
      </c>
      <c r="AC120" s="469" t="e">
        <f t="shared" si="90"/>
        <v>#REF!</v>
      </c>
      <c r="AD120" s="469" t="e">
        <f>$AE$110 + IF($B$2="mil",1,0.0254)*DDR2Specs!$E$9</f>
        <v>#REF!</v>
      </c>
      <c r="AE120" s="469" t="e">
        <f>$AD$110 + IF($B$2="mil",1,0.0254)*DDR2Specs!$F$9</f>
        <v>#REF!</v>
      </c>
      <c r="AF120" s="491" t="e">
        <f t="shared" si="83"/>
        <v>#REF!</v>
      </c>
      <c r="AG120" s="492" t="e">
        <f t="shared" si="84"/>
        <v>#REF!</v>
      </c>
      <c r="AH120" s="2"/>
      <c r="AI120" s="2"/>
      <c r="AJ120" s="2"/>
      <c r="AK120" s="2"/>
      <c r="AL120" s="2"/>
      <c r="AM120" s="2"/>
      <c r="AN120" s="510" t="s">
        <v>95</v>
      </c>
      <c r="AO120" s="504" t="e">
        <f t="shared" si="91"/>
        <v>#REF!</v>
      </c>
      <c r="AP120" s="2"/>
      <c r="AQ120" s="473" t="e">
        <f t="shared" si="85"/>
        <v>#REF!</v>
      </c>
      <c r="AR120" s="473" t="e">
        <f t="shared" si="86"/>
        <v>#REF!</v>
      </c>
      <c r="AS120" s="473" t="e">
        <f t="shared" ca="1" si="92"/>
        <v>#NAME?</v>
      </c>
      <c r="AT120" s="473" t="e">
        <f t="shared" ca="1" si="93"/>
        <v>#NAME?</v>
      </c>
      <c r="AU120" s="473" t="e">
        <f t="shared" si="94"/>
        <v>#REF!</v>
      </c>
      <c r="AV120" s="504" t="e">
        <f t="shared" si="95"/>
        <v>#REF!</v>
      </c>
      <c r="AW120" s="473" t="e">
        <f t="shared" si="96"/>
        <v>#REF!</v>
      </c>
      <c r="AX120" s="474" t="e">
        <f t="shared" si="97"/>
        <v>#REF!</v>
      </c>
      <c r="AY120" s="4" t="e">
        <f t="shared" ca="1" si="98"/>
        <v>#REF!</v>
      </c>
      <c r="AZ120" s="2"/>
    </row>
    <row r="121" spans="16:52" x14ac:dyDescent="0.2">
      <c r="P121" s="217" t="s">
        <v>96</v>
      </c>
      <c r="Q121" s="270">
        <v>533.94000000000005</v>
      </c>
      <c r="R121" s="270">
        <v>500</v>
      </c>
      <c r="S121" s="270">
        <v>500</v>
      </c>
      <c r="T121" s="364">
        <v>50</v>
      </c>
      <c r="U121" s="364">
        <v>50</v>
      </c>
      <c r="V121" s="490">
        <f t="shared" si="87"/>
        <v>4546.6000000000004</v>
      </c>
      <c r="W121" s="469" t="e">
        <f t="shared" si="88"/>
        <v>#REF!</v>
      </c>
      <c r="X121" s="469" t="e">
        <f>$Y$110 + IF($B$2="mil",1,0.0254)*DDR2Specs!$E$9</f>
        <v>#REF!</v>
      </c>
      <c r="Y121" s="492" t="e">
        <f>$X$110 + IF($B$2="mil",1,0.0254)*DDR2Specs!$F$9</f>
        <v>#REF!</v>
      </c>
      <c r="Z121" s="491" t="e">
        <f t="shared" si="81"/>
        <v>#REF!</v>
      </c>
      <c r="AA121" s="492" t="e">
        <f t="shared" si="82"/>
        <v>#REF!</v>
      </c>
      <c r="AB121" s="490">
        <f t="shared" si="89"/>
        <v>4546.6000000000004</v>
      </c>
      <c r="AC121" s="469" t="e">
        <f t="shared" si="90"/>
        <v>#REF!</v>
      </c>
      <c r="AD121" s="469" t="e">
        <f>$AE$110 + IF($B$2="mil",1,0.0254)*DDR2Specs!$E$9</f>
        <v>#REF!</v>
      </c>
      <c r="AE121" s="469" t="e">
        <f>$AD$110 + IF($B$2="mil",1,0.0254)*DDR2Specs!$F$9</f>
        <v>#REF!</v>
      </c>
      <c r="AF121" s="491" t="e">
        <f t="shared" si="83"/>
        <v>#REF!</v>
      </c>
      <c r="AG121" s="492" t="e">
        <f t="shared" si="84"/>
        <v>#REF!</v>
      </c>
      <c r="AH121" s="2"/>
      <c r="AI121" s="2"/>
      <c r="AJ121" s="2"/>
      <c r="AK121" s="2"/>
      <c r="AL121" s="2"/>
      <c r="AM121" s="2"/>
      <c r="AN121" s="510" t="s">
        <v>96</v>
      </c>
      <c r="AO121" s="504" t="e">
        <f t="shared" si="91"/>
        <v>#REF!</v>
      </c>
      <c r="AP121" s="2"/>
      <c r="AQ121" s="473" t="e">
        <f t="shared" si="85"/>
        <v>#REF!</v>
      </c>
      <c r="AR121" s="473" t="e">
        <f t="shared" si="86"/>
        <v>#REF!</v>
      </c>
      <c r="AS121" s="473" t="e">
        <f t="shared" ca="1" si="92"/>
        <v>#NAME?</v>
      </c>
      <c r="AT121" s="473" t="e">
        <f t="shared" ca="1" si="93"/>
        <v>#NAME?</v>
      </c>
      <c r="AU121" s="473" t="e">
        <f t="shared" si="94"/>
        <v>#REF!</v>
      </c>
      <c r="AV121" s="504" t="e">
        <f t="shared" si="95"/>
        <v>#REF!</v>
      </c>
      <c r="AW121" s="473" t="e">
        <f t="shared" si="96"/>
        <v>#REF!</v>
      </c>
      <c r="AX121" s="474" t="e">
        <f t="shared" si="97"/>
        <v>#REF!</v>
      </c>
      <c r="AY121" s="4" t="e">
        <f t="shared" ca="1" si="98"/>
        <v>#REF!</v>
      </c>
      <c r="AZ121" s="2"/>
    </row>
    <row r="122" spans="16:52" x14ac:dyDescent="0.2">
      <c r="P122" s="217" t="s">
        <v>98</v>
      </c>
      <c r="Q122" s="270">
        <v>559.79</v>
      </c>
      <c r="R122" s="270">
        <v>500</v>
      </c>
      <c r="S122" s="270">
        <v>500</v>
      </c>
      <c r="T122" s="364">
        <v>50</v>
      </c>
      <c r="U122" s="364">
        <v>50</v>
      </c>
      <c r="V122" s="490">
        <f t="shared" si="87"/>
        <v>4689.49</v>
      </c>
      <c r="W122" s="469" t="e">
        <f t="shared" si="88"/>
        <v>#REF!</v>
      </c>
      <c r="X122" s="469" t="e">
        <f>$Y$110 + IF($B$2="mil",1,0.0254)*DDR2Specs!$E$9</f>
        <v>#REF!</v>
      </c>
      <c r="Y122" s="492" t="e">
        <f>$X$110 + IF($B$2="mil",1,0.0254)*DDR2Specs!$F$9</f>
        <v>#REF!</v>
      </c>
      <c r="Z122" s="491" t="e">
        <f t="shared" si="81"/>
        <v>#REF!</v>
      </c>
      <c r="AA122" s="492" t="e">
        <f t="shared" si="82"/>
        <v>#REF!</v>
      </c>
      <c r="AB122" s="490">
        <f t="shared" si="89"/>
        <v>4689.49</v>
      </c>
      <c r="AC122" s="469" t="e">
        <f t="shared" si="90"/>
        <v>#REF!</v>
      </c>
      <c r="AD122" s="469" t="e">
        <f>$AE$110 + IF($B$2="mil",1,0.0254)*DDR2Specs!$E$9</f>
        <v>#REF!</v>
      </c>
      <c r="AE122" s="469" t="e">
        <f>$AD$110 + IF($B$2="mil",1,0.0254)*DDR2Specs!$F$9</f>
        <v>#REF!</v>
      </c>
      <c r="AF122" s="491" t="e">
        <f t="shared" si="83"/>
        <v>#REF!</v>
      </c>
      <c r="AG122" s="492" t="e">
        <f t="shared" si="84"/>
        <v>#REF!</v>
      </c>
      <c r="AH122" s="2"/>
      <c r="AI122" s="2"/>
      <c r="AJ122" s="2"/>
      <c r="AK122" s="2"/>
      <c r="AL122" s="2"/>
      <c r="AM122" s="2"/>
      <c r="AN122" s="510" t="s">
        <v>98</v>
      </c>
      <c r="AO122" s="504" t="e">
        <f t="shared" si="91"/>
        <v>#REF!</v>
      </c>
      <c r="AP122" s="2"/>
      <c r="AQ122" s="473" t="e">
        <f t="shared" si="85"/>
        <v>#REF!</v>
      </c>
      <c r="AR122" s="473" t="e">
        <f t="shared" si="86"/>
        <v>#REF!</v>
      </c>
      <c r="AS122" s="473" t="e">
        <f t="shared" ca="1" si="92"/>
        <v>#NAME?</v>
      </c>
      <c r="AT122" s="473" t="e">
        <f t="shared" ca="1" si="93"/>
        <v>#NAME?</v>
      </c>
      <c r="AU122" s="473" t="e">
        <f t="shared" si="94"/>
        <v>#REF!</v>
      </c>
      <c r="AV122" s="504" t="e">
        <f t="shared" si="95"/>
        <v>#REF!</v>
      </c>
      <c r="AW122" s="473" t="e">
        <f t="shared" si="96"/>
        <v>#REF!</v>
      </c>
      <c r="AX122" s="474" t="e">
        <f t="shared" si="97"/>
        <v>#REF!</v>
      </c>
      <c r="AY122" s="4" t="e">
        <f t="shared" ca="1" si="98"/>
        <v>#REF!</v>
      </c>
      <c r="AZ122" s="2"/>
    </row>
    <row r="123" spans="16:52" x14ac:dyDescent="0.2">
      <c r="P123" s="217" t="s">
        <v>99</v>
      </c>
      <c r="Q123" s="270">
        <v>632.15</v>
      </c>
      <c r="R123" s="270">
        <v>500</v>
      </c>
      <c r="S123" s="270">
        <v>500</v>
      </c>
      <c r="T123" s="364">
        <v>50</v>
      </c>
      <c r="U123" s="364">
        <v>50</v>
      </c>
      <c r="V123" s="490">
        <f t="shared" si="87"/>
        <v>4518.38</v>
      </c>
      <c r="W123" s="469" t="e">
        <f t="shared" si="88"/>
        <v>#REF!</v>
      </c>
      <c r="X123" s="469" t="e">
        <f>$Y$110 + IF($B$2="mil",1,0.0254)*DDR2Specs!$E$9</f>
        <v>#REF!</v>
      </c>
      <c r="Y123" s="492" t="e">
        <f>$X$110 + IF($B$2="mil",1,0.0254)*DDR2Specs!$F$9</f>
        <v>#REF!</v>
      </c>
      <c r="Z123" s="491" t="e">
        <f t="shared" si="81"/>
        <v>#REF!</v>
      </c>
      <c r="AA123" s="492" t="e">
        <f t="shared" si="82"/>
        <v>#REF!</v>
      </c>
      <c r="AB123" s="490">
        <f t="shared" si="89"/>
        <v>4518.38</v>
      </c>
      <c r="AC123" s="469" t="e">
        <f t="shared" si="90"/>
        <v>#REF!</v>
      </c>
      <c r="AD123" s="469" t="e">
        <f>$AE$110 + IF($B$2="mil",1,0.0254)*DDR2Specs!$E$9</f>
        <v>#REF!</v>
      </c>
      <c r="AE123" s="469" t="e">
        <f>$AD$110 + IF($B$2="mil",1,0.0254)*DDR2Specs!$F$9</f>
        <v>#REF!</v>
      </c>
      <c r="AF123" s="491" t="e">
        <f t="shared" si="83"/>
        <v>#REF!</v>
      </c>
      <c r="AG123" s="492" t="e">
        <f t="shared" si="84"/>
        <v>#REF!</v>
      </c>
      <c r="AH123" s="2"/>
      <c r="AI123" s="2"/>
      <c r="AJ123" s="2"/>
      <c r="AK123" s="2"/>
      <c r="AL123" s="2"/>
      <c r="AM123" s="2"/>
      <c r="AN123" s="510" t="s">
        <v>99</v>
      </c>
      <c r="AO123" s="504" t="e">
        <f t="shared" si="91"/>
        <v>#REF!</v>
      </c>
      <c r="AP123" s="2"/>
      <c r="AQ123" s="473" t="e">
        <f t="shared" si="85"/>
        <v>#REF!</v>
      </c>
      <c r="AR123" s="473" t="e">
        <f t="shared" si="86"/>
        <v>#REF!</v>
      </c>
      <c r="AS123" s="473" t="e">
        <f t="shared" ca="1" si="92"/>
        <v>#NAME?</v>
      </c>
      <c r="AT123" s="473" t="e">
        <f t="shared" ca="1" si="93"/>
        <v>#NAME?</v>
      </c>
      <c r="AU123" s="473" t="e">
        <f t="shared" si="94"/>
        <v>#REF!</v>
      </c>
      <c r="AV123" s="504" t="e">
        <f t="shared" si="95"/>
        <v>#REF!</v>
      </c>
      <c r="AW123" s="473" t="e">
        <f t="shared" si="96"/>
        <v>#REF!</v>
      </c>
      <c r="AX123" s="474" t="e">
        <f t="shared" si="97"/>
        <v>#REF!</v>
      </c>
      <c r="AY123" s="4" t="e">
        <f t="shared" ca="1" si="98"/>
        <v>#REF!</v>
      </c>
      <c r="AZ123" s="2"/>
    </row>
    <row r="124" spans="16:52" x14ac:dyDescent="0.2">
      <c r="P124" s="217" t="s">
        <v>100</v>
      </c>
      <c r="Q124" s="270">
        <v>566.39</v>
      </c>
      <c r="R124" s="270">
        <v>500</v>
      </c>
      <c r="S124" s="270">
        <v>500</v>
      </c>
      <c r="T124" s="364">
        <v>50</v>
      </c>
      <c r="U124" s="364">
        <v>50</v>
      </c>
      <c r="V124" s="490">
        <f t="shared" si="87"/>
        <v>4550.66</v>
      </c>
      <c r="W124" s="469" t="e">
        <f t="shared" si="88"/>
        <v>#REF!</v>
      </c>
      <c r="X124" s="469" t="e">
        <f>$Y$110 + IF($B$2="mil",1,0.0254)*DDR2Specs!$E$9</f>
        <v>#REF!</v>
      </c>
      <c r="Y124" s="492" t="e">
        <f>$X$110 + IF($B$2="mil",1,0.0254)*DDR2Specs!$F$9</f>
        <v>#REF!</v>
      </c>
      <c r="Z124" s="491" t="e">
        <f t="shared" si="81"/>
        <v>#REF!</v>
      </c>
      <c r="AA124" s="492" t="e">
        <f t="shared" si="82"/>
        <v>#REF!</v>
      </c>
      <c r="AB124" s="490">
        <f t="shared" si="89"/>
        <v>4550.66</v>
      </c>
      <c r="AC124" s="469" t="e">
        <f t="shared" si="90"/>
        <v>#REF!</v>
      </c>
      <c r="AD124" s="469" t="e">
        <f>$AE$110 + IF($B$2="mil",1,0.0254)*DDR2Specs!$E$9</f>
        <v>#REF!</v>
      </c>
      <c r="AE124" s="469" t="e">
        <f>$AD$110 + IF($B$2="mil",1,0.0254)*DDR2Specs!$F$9</f>
        <v>#REF!</v>
      </c>
      <c r="AF124" s="491" t="e">
        <f t="shared" si="83"/>
        <v>#REF!</v>
      </c>
      <c r="AG124" s="492" t="e">
        <f t="shared" si="84"/>
        <v>#REF!</v>
      </c>
      <c r="AH124" s="2"/>
      <c r="AI124" s="2"/>
      <c r="AJ124" s="2"/>
      <c r="AK124" s="2"/>
      <c r="AL124" s="2"/>
      <c r="AM124" s="2"/>
      <c r="AN124" s="510" t="s">
        <v>100</v>
      </c>
      <c r="AO124" s="504" t="e">
        <f t="shared" si="91"/>
        <v>#REF!</v>
      </c>
      <c r="AP124" s="2"/>
      <c r="AQ124" s="473" t="e">
        <f t="shared" si="85"/>
        <v>#REF!</v>
      </c>
      <c r="AR124" s="473" t="e">
        <f t="shared" si="86"/>
        <v>#REF!</v>
      </c>
      <c r="AS124" s="473" t="e">
        <f t="shared" ca="1" si="92"/>
        <v>#NAME?</v>
      </c>
      <c r="AT124" s="473" t="e">
        <f t="shared" ca="1" si="93"/>
        <v>#NAME?</v>
      </c>
      <c r="AU124" s="473" t="e">
        <f t="shared" si="94"/>
        <v>#REF!</v>
      </c>
      <c r="AV124" s="504" t="e">
        <f t="shared" si="95"/>
        <v>#REF!</v>
      </c>
      <c r="AW124" s="473" t="e">
        <f t="shared" si="96"/>
        <v>#REF!</v>
      </c>
      <c r="AX124" s="474" t="e">
        <f t="shared" si="97"/>
        <v>#REF!</v>
      </c>
      <c r="AY124" s="4" t="e">
        <f t="shared" ca="1" si="98"/>
        <v>#REF!</v>
      </c>
      <c r="AZ124" s="2"/>
    </row>
    <row r="125" spans="16:52" x14ac:dyDescent="0.2">
      <c r="P125" s="217" t="s">
        <v>101</v>
      </c>
      <c r="Q125" s="270">
        <v>566.39</v>
      </c>
      <c r="R125" s="270">
        <v>500</v>
      </c>
      <c r="S125" s="270">
        <v>500</v>
      </c>
      <c r="T125" s="364">
        <v>50</v>
      </c>
      <c r="U125" s="364">
        <v>50</v>
      </c>
      <c r="V125" s="490">
        <f t="shared" si="87"/>
        <v>4430.66</v>
      </c>
      <c r="W125" s="469" t="e">
        <f t="shared" si="88"/>
        <v>#REF!</v>
      </c>
      <c r="X125" s="469" t="e">
        <f>$Y$110 + IF($B$2="mil",1,0.0254)*DDR2Specs!$E$9</f>
        <v>#REF!</v>
      </c>
      <c r="Y125" s="492" t="e">
        <f>$X$110 + IF($B$2="mil",1,0.0254)*DDR2Specs!$F$9</f>
        <v>#REF!</v>
      </c>
      <c r="Z125" s="491" t="e">
        <f t="shared" si="81"/>
        <v>#REF!</v>
      </c>
      <c r="AA125" s="492" t="e">
        <f t="shared" si="82"/>
        <v>#REF!</v>
      </c>
      <c r="AB125" s="490">
        <f t="shared" si="89"/>
        <v>4430.66</v>
      </c>
      <c r="AC125" s="469" t="e">
        <f t="shared" si="90"/>
        <v>#REF!</v>
      </c>
      <c r="AD125" s="469" t="e">
        <f>$AE$110 + IF($B$2="mil",1,0.0254)*DDR2Specs!$E$9</f>
        <v>#REF!</v>
      </c>
      <c r="AE125" s="469" t="e">
        <f>$AD$110 + IF($B$2="mil",1,0.0254)*DDR2Specs!$F$9</f>
        <v>#REF!</v>
      </c>
      <c r="AF125" s="491" t="e">
        <f t="shared" si="83"/>
        <v>#REF!</v>
      </c>
      <c r="AG125" s="492" t="e">
        <f t="shared" si="84"/>
        <v>#REF!</v>
      </c>
      <c r="AH125" s="2"/>
      <c r="AI125" s="2"/>
      <c r="AJ125" s="2"/>
      <c r="AK125" s="2"/>
      <c r="AL125" s="2"/>
      <c r="AM125" s="2"/>
      <c r="AN125" s="510" t="s">
        <v>101</v>
      </c>
      <c r="AO125" s="504" t="e">
        <f t="shared" si="91"/>
        <v>#REF!</v>
      </c>
      <c r="AP125" s="2"/>
      <c r="AQ125" s="473" t="e">
        <f t="shared" si="85"/>
        <v>#REF!</v>
      </c>
      <c r="AR125" s="473" t="e">
        <f t="shared" si="86"/>
        <v>#REF!</v>
      </c>
      <c r="AS125" s="473" t="e">
        <f t="shared" ca="1" si="92"/>
        <v>#NAME?</v>
      </c>
      <c r="AT125" s="473" t="e">
        <f t="shared" ca="1" si="93"/>
        <v>#NAME?</v>
      </c>
      <c r="AU125" s="473" t="e">
        <f t="shared" si="94"/>
        <v>#REF!</v>
      </c>
      <c r="AV125" s="504" t="e">
        <f t="shared" si="95"/>
        <v>#REF!</v>
      </c>
      <c r="AW125" s="473" t="e">
        <f t="shared" si="96"/>
        <v>#REF!</v>
      </c>
      <c r="AX125" s="474" t="e">
        <f t="shared" si="97"/>
        <v>#REF!</v>
      </c>
      <c r="AY125" s="4" t="e">
        <f t="shared" ca="1" si="98"/>
        <v>#REF!</v>
      </c>
      <c r="AZ125" s="2"/>
    </row>
    <row r="126" spans="16:52" x14ac:dyDescent="0.2">
      <c r="P126" s="180" t="s">
        <v>278</v>
      </c>
      <c r="Q126" s="298"/>
      <c r="R126" s="298"/>
      <c r="S126" s="298"/>
      <c r="T126" s="388"/>
      <c r="U126" s="388"/>
      <c r="V126" s="182"/>
      <c r="W126" s="182"/>
      <c r="X126" s="182"/>
      <c r="Y126" s="515"/>
      <c r="Z126" s="385"/>
      <c r="AA126" s="385"/>
      <c r="AB126" s="182"/>
      <c r="AC126" s="182"/>
      <c r="AD126" s="182"/>
      <c r="AE126" s="182"/>
      <c r="AF126" s="385"/>
      <c r="AG126" s="385"/>
      <c r="AH126" s="2"/>
      <c r="AI126" s="2"/>
      <c r="AJ126" s="2"/>
      <c r="AK126" s="2"/>
      <c r="AL126" s="2"/>
      <c r="AM126" s="2"/>
      <c r="AN126" s="134" t="s">
        <v>278</v>
      </c>
      <c r="AO126" s="244"/>
      <c r="AP126" s="2"/>
      <c r="AQ126" s="155"/>
      <c r="AR126" s="155"/>
      <c r="AS126" s="155"/>
      <c r="AT126" s="155"/>
      <c r="AU126" s="155"/>
      <c r="AV126" s="506"/>
      <c r="AW126" s="155"/>
      <c r="AX126" s="494"/>
      <c r="AY126" s="2"/>
      <c r="AZ126" s="2"/>
    </row>
    <row r="127" spans="16:52" x14ac:dyDescent="0.2">
      <c r="P127" s="162" t="s">
        <v>102</v>
      </c>
      <c r="Q127" s="270">
        <v>570.59</v>
      </c>
      <c r="R127" s="270">
        <v>500</v>
      </c>
      <c r="S127" s="270">
        <v>500</v>
      </c>
      <c r="T127" s="364">
        <v>50</v>
      </c>
      <c r="U127" s="364">
        <v>50</v>
      </c>
      <c r="V127" s="490">
        <f t="shared" si="87"/>
        <v>4441.21</v>
      </c>
      <c r="W127" s="469" t="e">
        <f>$V127+IF($B$2="mil",1,0.0254)*$C49</f>
        <v>#REF!</v>
      </c>
      <c r="X127" s="469" t="e">
        <f>$Y$110 + IF($B$2="mil",1,0.0254)*DDR2Specs!$E$9</f>
        <v>#REF!</v>
      </c>
      <c r="Y127" s="492" t="e">
        <f>$X$110 + IF($B$2="mil",1,0.0254)*DDR2Specs!$F$9</f>
        <v>#REF!</v>
      </c>
      <c r="Z127" s="491" t="e">
        <f>IF($W127&lt;$X127,$X127-$W127,"Pass")</f>
        <v>#REF!</v>
      </c>
      <c r="AA127" s="492" t="e">
        <f>IF($W127&gt;$Y127,$W127-$Y127,"Pass")</f>
        <v>#REF!</v>
      </c>
      <c r="AB127" s="490">
        <f t="shared" si="89"/>
        <v>4441.21</v>
      </c>
      <c r="AC127" s="469" t="e">
        <f>$AB127+IF($B$2="mil",1,0.0254)*$C49</f>
        <v>#REF!</v>
      </c>
      <c r="AD127" s="469" t="e">
        <f>$AE$110 + IF($B$2="mil",1,0.0254)*DDR2Specs!$E$9</f>
        <v>#REF!</v>
      </c>
      <c r="AE127" s="469" t="e">
        <f>$AD$110 + IF($B$2="mil",1,0.0254)*DDR2Specs!$F$9</f>
        <v>#REF!</v>
      </c>
      <c r="AF127" s="491" t="e">
        <f>IF($AC127&lt;$AD127,$AD127-$AC127,"Pass")</f>
        <v>#REF!</v>
      </c>
      <c r="AG127" s="492" t="e">
        <f>IF($AC127&gt;$AE127,$AC127-$AE127,"Pass")</f>
        <v>#REF!</v>
      </c>
      <c r="AH127" s="2"/>
      <c r="AI127" s="2"/>
      <c r="AJ127" s="2"/>
      <c r="AK127" s="2"/>
      <c r="AL127" s="2"/>
      <c r="AM127" s="2"/>
      <c r="AN127" s="509" t="s">
        <v>102</v>
      </c>
      <c r="AO127" s="504" t="e">
        <f>IF(Q127&lt;=IF($B$2="mil",1,0.0254)*1000,"Pass",IF($B$2="mil",1,0.0254)*1000-Q127)</f>
        <v>#REF!</v>
      </c>
      <c r="AP127" s="2"/>
      <c r="AQ127" s="473" t="e">
        <f>IF($R127&lt;=IF($B$2="mil",1,0.0254)*750,"Pass",IF($B$2="mil",1,0.0254)*750-$R127)</f>
        <v>#REF!</v>
      </c>
      <c r="AR127" s="473" t="e">
        <f>IF($S127&lt;=IF($B$2="mil",1,0.0254)*750,"Pass",IF($B$2="mil",1,0.0254)*750-$S127)</f>
        <v>#REF!</v>
      </c>
      <c r="AS127" s="473" t="e">
        <f t="shared" ref="AS127:AT129" ca="1" si="99">CheckLength2(IF($B$2="mil",1,0.0254)*950,R127,T127,0)</f>
        <v>#NAME?</v>
      </c>
      <c r="AT127" s="473" t="e">
        <f t="shared" ca="1" si="99"/>
        <v>#NAME?</v>
      </c>
      <c r="AU127" s="473" t="e">
        <f>IF(AND(V127&gt;=IF($B$2="mil",1,0.0254)*500, $V127&lt;=IF($B$2="mil",1,0.0254)*6500),"Pass",IF($B$2="mil",1,0.0254)*6500-$V127)</f>
        <v>#REF!</v>
      </c>
      <c r="AV127" s="504" t="e">
        <f>IF(AND($W127&gt;=IF($B$2="mil",1,0.0254)*500, $W127&lt;=IF($B$2="mil",1,0.0254)*7000),"Pass",IF($B$2="mil",1,0.0254)*7000-$W127)</f>
        <v>#REF!</v>
      </c>
      <c r="AW127" s="473" t="e">
        <f>IF(AND($AB127&gt;=IF($B$2="mil",1,0.0254)*500, $AB127&lt;=IF($B$2="mil",1,0.0254)*6500),"Pass",IF($B$2="mil",1,0.0254)*6500-$AB127)</f>
        <v>#REF!</v>
      </c>
      <c r="AX127" s="474" t="e">
        <f>IF(AND($AC127&gt;=IF($B$2="mil",1,0.0254)*500, $AC127&lt;=IF($B$2="mil",1,0.0254)*7000),"Pass",IF($B$2="mil",1,0.0254)*7000-$AC127)</f>
        <v>#REF!</v>
      </c>
      <c r="AY127" s="4" t="e">
        <f t="shared" ca="1" si="98"/>
        <v>#REF!</v>
      </c>
      <c r="AZ127" s="2"/>
    </row>
    <row r="128" spans="16:52" x14ac:dyDescent="0.2">
      <c r="P128" s="216" t="s">
        <v>103</v>
      </c>
      <c r="Q128" s="270">
        <v>585.74</v>
      </c>
      <c r="R128" s="270">
        <v>500</v>
      </c>
      <c r="S128" s="270">
        <v>500</v>
      </c>
      <c r="T128" s="364">
        <v>50</v>
      </c>
      <c r="U128" s="364">
        <v>50</v>
      </c>
      <c r="V128" s="490">
        <f>SUM($E50:$G50,$M50,$Q128:$R128,$P50,$T128)</f>
        <v>4509.2999999999993</v>
      </c>
      <c r="W128" s="469" t="e">
        <f>$V128+IF($B$2="mil",1,0.0254)*$C50</f>
        <v>#REF!</v>
      </c>
      <c r="X128" s="469" t="e">
        <f>$Y$110 + IF($B$2="mil",1,0.0254)*DDR2Specs!$E$9</f>
        <v>#REF!</v>
      </c>
      <c r="Y128" s="492" t="e">
        <f>$X$110 + IF($B$2="mil",1,0.0254)*DDR2Specs!$F$9</f>
        <v>#REF!</v>
      </c>
      <c r="Z128" s="491" t="e">
        <f>IF($W128&lt;$X128,$X128-$W128,"Pass")</f>
        <v>#REF!</v>
      </c>
      <c r="AA128" s="492" t="e">
        <f>IF($W128&gt;$Y128,$W128-$Y128,"Pass")</f>
        <v>#REF!</v>
      </c>
      <c r="AB128" s="490">
        <f t="shared" si="89"/>
        <v>4509.2999999999993</v>
      </c>
      <c r="AC128" s="469" t="e">
        <f>$AB128+IF($B$2="mil",1,0.0254)*$C50</f>
        <v>#REF!</v>
      </c>
      <c r="AD128" s="469" t="e">
        <f>$AE$110 + IF($B$2="mil",1,0.0254)*DDR2Specs!$E$9</f>
        <v>#REF!</v>
      </c>
      <c r="AE128" s="469" t="e">
        <f>$AD$110 + IF($B$2="mil",1,0.0254)*DDR2Specs!$F$9</f>
        <v>#REF!</v>
      </c>
      <c r="AF128" s="491" t="e">
        <f>IF($AC128&lt;$AD128,$AD128-$AC128,"Pass")</f>
        <v>#REF!</v>
      </c>
      <c r="AG128" s="492" t="e">
        <f>IF($AC128&gt;$AE128,$AC128-$AE128,"Pass")</f>
        <v>#REF!</v>
      </c>
      <c r="AH128" s="2"/>
      <c r="AI128" s="2"/>
      <c r="AJ128" s="2"/>
      <c r="AK128" s="2"/>
      <c r="AL128" s="2"/>
      <c r="AM128" s="2"/>
      <c r="AN128" s="511" t="s">
        <v>103</v>
      </c>
      <c r="AO128" s="504" t="e">
        <f>IF(Q128&lt;=IF($B$2="mil",1,0.0254)*1000,"Pass",IF($B$2="mil",1,0.0254)*1000-Q128)</f>
        <v>#REF!</v>
      </c>
      <c r="AP128" s="2"/>
      <c r="AQ128" s="473" t="e">
        <f>IF($R128&lt;=IF($B$2="mil",1,0.0254)*750,"Pass",IF($B$2="mil",1,0.0254)*750-$R128)</f>
        <v>#REF!</v>
      </c>
      <c r="AR128" s="473" t="e">
        <f>IF($S128&lt;=IF($B$2="mil",1,0.0254)*750,"Pass",IF($B$2="mil",1,0.0254)*750-$S128)</f>
        <v>#REF!</v>
      </c>
      <c r="AS128" s="473" t="e">
        <f t="shared" ca="1" si="99"/>
        <v>#NAME?</v>
      </c>
      <c r="AT128" s="473" t="e">
        <f t="shared" ca="1" si="99"/>
        <v>#NAME?</v>
      </c>
      <c r="AU128" s="473" t="e">
        <f>IF(AND(V128&gt;=IF($B$2="mil",1,0.0254)*500, $V128&lt;=IF($B$2="mil",1,0.0254)*6500),"Pass",IF($B$2="mil",1,0.0254)*6500-$V128)</f>
        <v>#REF!</v>
      </c>
      <c r="AV128" s="504" t="e">
        <f>IF(AND($W128&gt;=IF($B$2="mil",1,0.0254)*500, $W128&lt;=IF($B$2="mil",1,0.0254)*7000),"Pass",IF($B$2="mil",1,0.0254)*7000-$W128)</f>
        <v>#REF!</v>
      </c>
      <c r="AW128" s="473" t="e">
        <f>IF(AND($AB128&gt;=IF($B$2="mil",1,0.0254)*500, $AB128&lt;=IF($B$2="mil",1,0.0254)*6500),"Pass",IF($B$2="mil",1,0.0254)*6500-$AB128)</f>
        <v>#REF!</v>
      </c>
      <c r="AX128" s="474" t="e">
        <f>IF(AND($AC128&gt;=IF($B$2="mil",1,0.0254)*500, $AC128&lt;=IF($B$2="mil",1,0.0254)*7000),"Pass",IF($B$2="mil",1,0.0254)*7000-$AC128)</f>
        <v>#REF!</v>
      </c>
      <c r="AY128" s="4" t="e">
        <f t="shared" ca="1" si="98"/>
        <v>#REF!</v>
      </c>
      <c r="AZ128" s="2"/>
    </row>
    <row r="129" spans="16:52" x14ac:dyDescent="0.2">
      <c r="P129" s="216" t="s">
        <v>104</v>
      </c>
      <c r="Q129" s="270">
        <v>541.1</v>
      </c>
      <c r="R129" s="270">
        <v>500</v>
      </c>
      <c r="S129" s="270">
        <v>500</v>
      </c>
      <c r="T129" s="364">
        <v>50</v>
      </c>
      <c r="U129" s="364">
        <v>50</v>
      </c>
      <c r="V129" s="490">
        <f t="shared" si="87"/>
        <v>4598.6799999999994</v>
      </c>
      <c r="W129" s="469" t="e">
        <f>$V129+IF($B$2="mil",1,0.0254)*$C51</f>
        <v>#REF!</v>
      </c>
      <c r="X129" s="469" t="e">
        <f>$Y$110 + IF($B$2="mil",1,0.0254)*DDR2Specs!$E$9</f>
        <v>#REF!</v>
      </c>
      <c r="Y129" s="492" t="e">
        <f>$X$110 + IF($B$2="mil",1,0.0254)*DDR2Specs!$F$9</f>
        <v>#REF!</v>
      </c>
      <c r="Z129" s="491" t="e">
        <f>IF($W129&lt;$X129,$X129-$W129,"Pass")</f>
        <v>#REF!</v>
      </c>
      <c r="AA129" s="492" t="e">
        <f>IF($W129&gt;$Y129,$W129-$Y129,"Pass")</f>
        <v>#REF!</v>
      </c>
      <c r="AB129" s="490">
        <f t="shared" si="89"/>
        <v>4598.68</v>
      </c>
      <c r="AC129" s="469" t="e">
        <f>$AB129+IF($B$2="mil",1,0.0254)*$C51</f>
        <v>#REF!</v>
      </c>
      <c r="AD129" s="469" t="e">
        <f>$AE$110 + IF($B$2="mil",1,0.0254)*DDR2Specs!$E$9</f>
        <v>#REF!</v>
      </c>
      <c r="AE129" s="469" t="e">
        <f>$AD$110 + IF($B$2="mil",1,0.0254)*DDR2Specs!$F$9</f>
        <v>#REF!</v>
      </c>
      <c r="AF129" s="491" t="e">
        <f>IF($AC129&lt;$AD129,$AD129-$AC129,"Pass")</f>
        <v>#REF!</v>
      </c>
      <c r="AG129" s="492" t="e">
        <f>IF($AC129&gt;$AE129,$AC129-$AE129,"Pass")</f>
        <v>#REF!</v>
      </c>
      <c r="AH129" s="2"/>
      <c r="AI129" s="2"/>
      <c r="AJ129" s="2"/>
      <c r="AK129" s="2"/>
      <c r="AL129" s="2"/>
      <c r="AM129" s="2"/>
      <c r="AN129" s="511" t="s">
        <v>104</v>
      </c>
      <c r="AO129" s="504" t="e">
        <f>IF(Q129&lt;=IF($B$2="mil",1,0.0254)*1000,"Pass",IF($B$2="mil",1,0.0254)*1000-Q129)</f>
        <v>#REF!</v>
      </c>
      <c r="AP129" s="2"/>
      <c r="AQ129" s="473" t="e">
        <f>IF($R129&lt;=IF($B$2="mil",1,0.0254)*750,"Pass",IF($B$2="mil",1,0.0254)*750-$R129)</f>
        <v>#REF!</v>
      </c>
      <c r="AR129" s="473" t="e">
        <f>IF($S129&lt;=IF($B$2="mil",1,0.0254)*750,"Pass",IF($B$2="mil",1,0.0254)*750-$S129)</f>
        <v>#REF!</v>
      </c>
      <c r="AS129" s="473" t="e">
        <f t="shared" ca="1" si="99"/>
        <v>#NAME?</v>
      </c>
      <c r="AT129" s="473" t="e">
        <f t="shared" ca="1" si="99"/>
        <v>#NAME?</v>
      </c>
      <c r="AU129" s="473" t="e">
        <f>IF(AND(V129&gt;=IF($B$2="mil",1,0.0254)*500, $V129&lt;=IF($B$2="mil",1,0.0254)*6500),"Pass",IF($B$2="mil",1,0.0254)*6500-$V129)</f>
        <v>#REF!</v>
      </c>
      <c r="AV129" s="504" t="e">
        <f>IF(AND($W129&gt;=IF($B$2="mil",1,0.0254)*500, $W129&lt;=IF($B$2="mil",1,0.0254)*7000),"Pass",IF($B$2="mil",1,0.0254)*7000-$W129)</f>
        <v>#REF!</v>
      </c>
      <c r="AW129" s="473" t="e">
        <f>IF(AND($AB129&gt;=IF($B$2="mil",1,0.0254)*500, $AB129&lt;=IF($B$2="mil",1,0.0254)*6500),"Pass",IF($B$2="mil",1,0.0254)*6500-$AB129)</f>
        <v>#REF!</v>
      </c>
      <c r="AX129" s="474" t="e">
        <f>IF(AND($AC129&gt;=IF($B$2="mil",1,0.0254)*500, $AC129&lt;=IF($B$2="mil",1,0.0254)*7000),"Pass",IF($B$2="mil",1,0.0254)*7000-$AC129)</f>
        <v>#REF!</v>
      </c>
      <c r="AY129" s="4" t="e">
        <f t="shared" ca="1" si="98"/>
        <v>#REF!</v>
      </c>
      <c r="AZ129" s="2"/>
    </row>
    <row r="130" spans="16:52" x14ac:dyDescent="0.2">
      <c r="P130" s="180" t="s">
        <v>279</v>
      </c>
      <c r="Q130" s="298"/>
      <c r="R130" s="298"/>
      <c r="S130" s="298"/>
      <c r="T130" s="388"/>
      <c r="U130" s="388"/>
      <c r="V130" s="182"/>
      <c r="W130" s="182"/>
      <c r="X130" s="182"/>
      <c r="Y130" s="515"/>
      <c r="Z130" s="385"/>
      <c r="AA130" s="385"/>
      <c r="AB130" s="182"/>
      <c r="AC130" s="182"/>
      <c r="AD130" s="182"/>
      <c r="AE130" s="182"/>
      <c r="AF130" s="385"/>
      <c r="AG130" s="385"/>
      <c r="AH130" s="2"/>
      <c r="AI130" s="2"/>
      <c r="AJ130" s="2"/>
      <c r="AK130" s="2"/>
      <c r="AL130" s="2"/>
      <c r="AM130" s="2"/>
      <c r="AN130" s="134" t="s">
        <v>279</v>
      </c>
      <c r="AO130" s="506"/>
      <c r="AP130" s="2"/>
      <c r="AQ130" s="385"/>
      <c r="AR130" s="385"/>
      <c r="AS130" s="385"/>
      <c r="AT130" s="385"/>
      <c r="AU130" s="385"/>
      <c r="AV130" s="506"/>
      <c r="AW130" s="385"/>
      <c r="AX130" s="494"/>
      <c r="AY130" s="2"/>
      <c r="AZ130" s="2"/>
    </row>
    <row r="131" spans="16:52" x14ac:dyDescent="0.2">
      <c r="P131" s="162" t="s">
        <v>106</v>
      </c>
      <c r="Q131" s="270">
        <v>564.66</v>
      </c>
      <c r="R131" s="270">
        <v>500</v>
      </c>
      <c r="S131" s="270">
        <v>500</v>
      </c>
      <c r="T131" s="364">
        <v>50</v>
      </c>
      <c r="U131" s="364">
        <v>50</v>
      </c>
      <c r="V131" s="490">
        <f t="shared" si="87"/>
        <v>4422.1499999999996</v>
      </c>
      <c r="W131" s="469" t="e">
        <f>$V131+IF($B$2="mil",1,0.0254)*$C53</f>
        <v>#REF!</v>
      </c>
      <c r="X131" s="469" t="e">
        <f>$Y$110 + IF($B$2="mil",1,0.0254)*DDR2Specs!$E$9</f>
        <v>#REF!</v>
      </c>
      <c r="Y131" s="492" t="e">
        <f>$X$110 + IF($B$2="mil",1,0.0254)*DDR2Specs!$F$9</f>
        <v>#REF!</v>
      </c>
      <c r="Z131" s="491" t="e">
        <f>IF($W131&lt;$X131,$X131-$W131,"Pass")</f>
        <v>#REF!</v>
      </c>
      <c r="AA131" s="492" t="e">
        <f>IF($W131&gt;$Y131,$W131-$Y131,"Pass")</f>
        <v>#REF!</v>
      </c>
      <c r="AB131" s="490">
        <f t="shared" si="89"/>
        <v>4422.1499999999996</v>
      </c>
      <c r="AC131" s="469" t="e">
        <f>$AB131+IF($B$2="mil",1,0.0254)*$C53</f>
        <v>#REF!</v>
      </c>
      <c r="AD131" s="469" t="e">
        <f>$AE$110 + IF($B$2="mil",1,0.0254)*DDR2Specs!$E$9</f>
        <v>#REF!</v>
      </c>
      <c r="AE131" s="469" t="e">
        <f>$AD$110 + IF($B$2="mil",1,0.0254)*DDR2Specs!$F$9</f>
        <v>#REF!</v>
      </c>
      <c r="AF131" s="491" t="e">
        <f>IF($AC131&lt;$AD131,$AD131-$AC131,"Pass")</f>
        <v>#REF!</v>
      </c>
      <c r="AG131" s="492" t="e">
        <f>IF($AC131&gt;$AE131,$AC131-$AE131,"Pass")</f>
        <v>#REF!</v>
      </c>
      <c r="AH131" s="2"/>
      <c r="AI131" s="2"/>
      <c r="AJ131" s="2"/>
      <c r="AK131" s="2"/>
      <c r="AL131" s="2"/>
      <c r="AM131" s="2"/>
      <c r="AN131" s="509" t="s">
        <v>106</v>
      </c>
      <c r="AO131" s="504" t="e">
        <f>IF(Q131&lt;=IF($B$2="mil",1,0.0254)*1000,"Pass",IF($B$2="mil",1,0.0254)*1000-Q131)</f>
        <v>#REF!</v>
      </c>
      <c r="AP131" s="2"/>
      <c r="AQ131" s="473" t="e">
        <f>IF($R131&lt;=IF($B$2="mil",1,0.0254)*750,"Pass",IF($B$2="mil",1,0.0254)*750-$R131)</f>
        <v>#REF!</v>
      </c>
      <c r="AR131" s="473" t="e">
        <f>IF($S131&lt;=IF($B$2="mil",1,0.0254)*750,"Pass",IF($B$2="mil",1,0.0254)*750-$S131)</f>
        <v>#REF!</v>
      </c>
      <c r="AS131" s="473" t="e">
        <f t="shared" ref="AS131:AT133" ca="1" si="100">CheckLength2(IF($B$2="mil",1,0.0254)*950,R131,T131,0)</f>
        <v>#NAME?</v>
      </c>
      <c r="AT131" s="473" t="e">
        <f t="shared" ca="1" si="100"/>
        <v>#NAME?</v>
      </c>
      <c r="AU131" s="473" t="e">
        <f>IF(AND(V131&gt;=IF($B$2="mil",1,0.0254)*500, $V131&lt;=IF($B$2="mil",1,0.0254)*6500),"Pass",IF($B$2="mil",1,0.0254)*6500-$V131)</f>
        <v>#REF!</v>
      </c>
      <c r="AV131" s="504" t="e">
        <f>IF(AND($W131&gt;=IF($B$2="mil",1,0.0254)*500, $W131&lt;=IF($B$2="mil",1,0.0254)*7000),"Pass",IF($B$2="mil",1,0.0254)*7000-$W131)</f>
        <v>#REF!</v>
      </c>
      <c r="AW131" s="473" t="e">
        <f>IF(AND($AB131&gt;=IF($B$2="mil",1,0.0254)*500, $AB131&lt;=IF($B$2="mil",1,0.0254)*6500),"Pass",IF($B$2="mil",1,0.0254)*6500-$AB131)</f>
        <v>#REF!</v>
      </c>
      <c r="AX131" s="474" t="e">
        <f>IF(AND($AC131&gt;=IF($B$2="mil",1,0.0254)*500, $AC131&lt;=IF($B$2="mil",1,0.0254)*7000),"Pass",IF($B$2="mil",1,0.0254)*7000-$AC131)</f>
        <v>#REF!</v>
      </c>
      <c r="AY131" s="4" t="e">
        <f t="shared" ca="1" si="98"/>
        <v>#REF!</v>
      </c>
      <c r="AZ131" s="2"/>
    </row>
    <row r="132" spans="16:52" x14ac:dyDescent="0.2">
      <c r="P132" s="217" t="s">
        <v>107</v>
      </c>
      <c r="Q132" s="270">
        <v>578.77</v>
      </c>
      <c r="R132" s="270">
        <v>500</v>
      </c>
      <c r="S132" s="270">
        <v>500</v>
      </c>
      <c r="T132" s="364">
        <v>50</v>
      </c>
      <c r="U132" s="364">
        <v>50</v>
      </c>
      <c r="V132" s="490">
        <f t="shared" si="87"/>
        <v>4410.4499999999989</v>
      </c>
      <c r="W132" s="469" t="e">
        <f>$V132+IF($B$2="mil",1,0.0254)*$C54</f>
        <v>#REF!</v>
      </c>
      <c r="X132" s="469" t="e">
        <f>$Y$110 + IF($B$2="mil",1,0.0254)*DDR2Specs!$E$9</f>
        <v>#REF!</v>
      </c>
      <c r="Y132" s="492" t="e">
        <f>$X$110 + IF($B$2="mil",1,0.0254)*DDR2Specs!$F$9</f>
        <v>#REF!</v>
      </c>
      <c r="Z132" s="491" t="e">
        <f>IF($W132&lt;$X132,$X132-$W132,"Pass")</f>
        <v>#REF!</v>
      </c>
      <c r="AA132" s="492" t="e">
        <f>IF($W132&gt;$Y132,$W132-$Y132,"Pass")</f>
        <v>#REF!</v>
      </c>
      <c r="AB132" s="490">
        <f t="shared" si="89"/>
        <v>4410.45</v>
      </c>
      <c r="AC132" s="469" t="e">
        <f>$AB132+IF($B$2="mil",1,0.0254)*$C54</f>
        <v>#REF!</v>
      </c>
      <c r="AD132" s="469" t="e">
        <f>$AE$110 + IF($B$2="mil",1,0.0254)*DDR2Specs!$E$9</f>
        <v>#REF!</v>
      </c>
      <c r="AE132" s="469" t="e">
        <f>$AD$110 + IF($B$2="mil",1,0.0254)*DDR2Specs!$F$9</f>
        <v>#REF!</v>
      </c>
      <c r="AF132" s="491" t="e">
        <f>IF($AC132&lt;$AD132,$AD132-$AC132,"Pass")</f>
        <v>#REF!</v>
      </c>
      <c r="AG132" s="492" t="e">
        <f>IF($AC132&gt;$AE132,$AC132-$AE132,"Pass")</f>
        <v>#REF!</v>
      </c>
      <c r="AH132" s="2"/>
      <c r="AI132" s="2"/>
      <c r="AJ132" s="2"/>
      <c r="AK132" s="2"/>
      <c r="AL132" s="2"/>
      <c r="AM132" s="2"/>
      <c r="AN132" s="510" t="s">
        <v>107</v>
      </c>
      <c r="AO132" s="504" t="e">
        <f>IF(Q132&lt;=IF($B$2="mil",1,0.0254)*1000,"Pass",IF($B$2="mil",1,0.0254)*1000-Q132)</f>
        <v>#REF!</v>
      </c>
      <c r="AP132" s="2"/>
      <c r="AQ132" s="473" t="e">
        <f>IF($R132&lt;=IF($B$2="mil",1,0.0254)*750,"Pass",IF($B$2="mil",1,0.0254)*750-$R132)</f>
        <v>#REF!</v>
      </c>
      <c r="AR132" s="473" t="e">
        <f>IF($S132&lt;=IF($B$2="mil",1,0.0254)*750,"Pass",IF($B$2="mil",1,0.0254)*750-$S132)</f>
        <v>#REF!</v>
      </c>
      <c r="AS132" s="473" t="e">
        <f t="shared" ca="1" si="100"/>
        <v>#NAME?</v>
      </c>
      <c r="AT132" s="473" t="e">
        <f t="shared" ca="1" si="100"/>
        <v>#NAME?</v>
      </c>
      <c r="AU132" s="473" t="e">
        <f>IF(AND(V132&gt;=IF($B$2="mil",1,0.0254)*500, $V132&lt;=IF($B$2="mil",1,0.0254)*6500),"Pass",IF($B$2="mil",1,0.0254)*6500-$V132)</f>
        <v>#REF!</v>
      </c>
      <c r="AV132" s="504" t="e">
        <f>IF(AND($W132&gt;=IF($B$2="mil",1,0.0254)*500, $W132&lt;=IF($B$2="mil",1,0.0254)*7000),"Pass",IF($B$2="mil",1,0.0254)*7000-$W132)</f>
        <v>#REF!</v>
      </c>
      <c r="AW132" s="473" t="e">
        <f>IF(AND($AB132&gt;=IF($B$2="mil",1,0.0254)*500, $AB132&lt;=IF($B$2="mil",1,0.0254)*6500),"Pass",IF($B$2="mil",1,0.0254)*6500-$AB132)</f>
        <v>#REF!</v>
      </c>
      <c r="AX132" s="474" t="e">
        <f>IF(AND($AC132&gt;=IF($B$2="mil",1,0.0254)*500, $AC132&lt;=IF($B$2="mil",1,0.0254)*7000),"Pass",IF($B$2="mil",1,0.0254)*7000-$AC132)</f>
        <v>#REF!</v>
      </c>
      <c r="AY132" s="4" t="e">
        <f t="shared" ca="1" si="98"/>
        <v>#REF!</v>
      </c>
      <c r="AZ132" s="2"/>
    </row>
    <row r="133" spans="16:52" x14ac:dyDescent="0.2">
      <c r="P133" s="217" t="s">
        <v>108</v>
      </c>
      <c r="Q133" s="270">
        <v>574.72</v>
      </c>
      <c r="R133" s="270">
        <v>500</v>
      </c>
      <c r="S133" s="270">
        <v>500</v>
      </c>
      <c r="T133" s="364">
        <v>50</v>
      </c>
      <c r="U133" s="364">
        <v>50</v>
      </c>
      <c r="V133" s="490">
        <f t="shared" si="87"/>
        <v>4340.1099999999997</v>
      </c>
      <c r="W133" s="469" t="e">
        <f>$V133+IF($B$2="mil",1,0.0254)*$C55</f>
        <v>#REF!</v>
      </c>
      <c r="X133" s="469" t="e">
        <f>$Y$110 + IF($B$2="mil",1,0.0254)*DDR2Specs!$E$9</f>
        <v>#REF!</v>
      </c>
      <c r="Y133" s="492" t="e">
        <f>$X$110 + IF($B$2="mil",1,0.0254)*DDR2Specs!$F$9</f>
        <v>#REF!</v>
      </c>
      <c r="Z133" s="491" t="e">
        <f>IF($W133&lt;$X133,$X133-$W133,"Pass")</f>
        <v>#REF!</v>
      </c>
      <c r="AA133" s="492" t="e">
        <f>IF($W133&gt;$Y133,$W133-$Y133,"Pass")</f>
        <v>#REF!</v>
      </c>
      <c r="AB133" s="490">
        <f t="shared" si="89"/>
        <v>4340.1099999999997</v>
      </c>
      <c r="AC133" s="469" t="e">
        <f>$AB133+IF($B$2="mil",1,0.0254)*$C55</f>
        <v>#REF!</v>
      </c>
      <c r="AD133" s="469" t="e">
        <f>$AE$110 + IF($B$2="mil",1,0.0254)*DDR2Specs!$E$9</f>
        <v>#REF!</v>
      </c>
      <c r="AE133" s="469" t="e">
        <f>$AD$110 + IF($B$2="mil",1,0.0254)*DDR2Specs!$F$9</f>
        <v>#REF!</v>
      </c>
      <c r="AF133" s="491" t="e">
        <f>IF($AC133&lt;$AD133,$AD133-$AC133,"Pass")</f>
        <v>#REF!</v>
      </c>
      <c r="AG133" s="492" t="e">
        <f>IF($AC133&gt;$AE133,$AC133-$AE133,"Pass")</f>
        <v>#REF!</v>
      </c>
      <c r="AH133" s="2"/>
      <c r="AI133" s="2"/>
      <c r="AJ133" s="2"/>
      <c r="AK133" s="2"/>
      <c r="AL133" s="2"/>
      <c r="AM133" s="2"/>
      <c r="AN133" s="510" t="s">
        <v>108</v>
      </c>
      <c r="AO133" s="504" t="e">
        <f>IF(Q133&lt;=IF($B$2="mil",1,0.0254)*1000,"Pass",IF($B$2="mil",1,0.0254)*1000-Q133)</f>
        <v>#REF!</v>
      </c>
      <c r="AP133" s="2"/>
      <c r="AQ133" s="473" t="e">
        <f>IF($R133&lt;=IF($B$2="mil",1,0.0254)*750,"Pass",IF($B$2="mil",1,0.0254)*750-$R133)</f>
        <v>#REF!</v>
      </c>
      <c r="AR133" s="473" t="e">
        <f>IF($S133&lt;=IF($B$2="mil",1,0.0254)*750,"Pass",IF($B$2="mil",1,0.0254)*750-$S133)</f>
        <v>#REF!</v>
      </c>
      <c r="AS133" s="473" t="e">
        <f t="shared" ca="1" si="100"/>
        <v>#NAME?</v>
      </c>
      <c r="AT133" s="473" t="e">
        <f t="shared" ca="1" si="100"/>
        <v>#NAME?</v>
      </c>
      <c r="AU133" s="473" t="e">
        <f>IF(AND(V133&gt;=IF($B$2="mil",1,0.0254)*500, $V133&lt;=IF($B$2="mil",1,0.0254)*6500),"Pass",IF($B$2="mil",1,0.0254)*6500-$V133)</f>
        <v>#REF!</v>
      </c>
      <c r="AV133" s="504" t="e">
        <f>IF(AND($W133&gt;=IF($B$2="mil",1,0.0254)*500, $W133&lt;=IF($B$2="mil",1,0.0254)*7000),"Pass",IF($B$2="mil",1,0.0254)*7000-$W133)</f>
        <v>#REF!</v>
      </c>
      <c r="AW133" s="473" t="e">
        <f>IF(AND($AB133&gt;=IF($B$2="mil",1,0.0254)*500, $AB133&lt;=IF($B$2="mil",1,0.0254)*6500),"Pass",IF($B$2="mil",1,0.0254)*6500-$AB133)</f>
        <v>#REF!</v>
      </c>
      <c r="AX133" s="474" t="e">
        <f>IF(AND($AC133&gt;=IF($B$2="mil",1,0.0254)*500, $AC133&lt;=IF($B$2="mil",1,0.0254)*7000),"Pass",IF($B$2="mil",1,0.0254)*7000-$AC133)</f>
        <v>#REF!</v>
      </c>
      <c r="AY133" s="4" t="e">
        <f t="shared" ca="1" si="98"/>
        <v>#REF!</v>
      </c>
      <c r="AZ133" s="2"/>
    </row>
    <row r="139" spans="16:52" x14ac:dyDescent="0.2">
      <c r="U139" s="1"/>
      <c r="V139"/>
    </row>
    <row r="140" spans="16:52" x14ac:dyDescent="0.2">
      <c r="U140" s="1"/>
      <c r="V140"/>
    </row>
    <row r="141" spans="16:52" x14ac:dyDescent="0.2">
      <c r="U141" s="1"/>
      <c r="V141"/>
    </row>
    <row r="142" spans="16:52" x14ac:dyDescent="0.2">
      <c r="U142" s="1"/>
      <c r="V142"/>
    </row>
    <row r="143" spans="16:52" x14ac:dyDescent="0.2">
      <c r="U143" s="1"/>
      <c r="V143"/>
    </row>
    <row r="144" spans="16:52" x14ac:dyDescent="0.2">
      <c r="U144" s="1"/>
      <c r="V144"/>
    </row>
    <row r="145" spans="19:22" x14ac:dyDescent="0.2">
      <c r="S145" s="1"/>
      <c r="V145"/>
    </row>
    <row r="146" spans="19:22" x14ac:dyDescent="0.2">
      <c r="S146" s="1"/>
      <c r="V146"/>
    </row>
    <row r="147" spans="19:22" x14ac:dyDescent="0.2">
      <c r="S147" s="1"/>
      <c r="V147"/>
    </row>
    <row r="148" spans="19:22" x14ac:dyDescent="0.2">
      <c r="S148" s="1"/>
      <c r="V148"/>
    </row>
    <row r="149" spans="19:22" x14ac:dyDescent="0.2">
      <c r="S149" s="1"/>
      <c r="V149"/>
    </row>
    <row r="150" spans="19:22" x14ac:dyDescent="0.2">
      <c r="S150" s="1"/>
      <c r="V150"/>
    </row>
    <row r="151" spans="19:22" x14ac:dyDescent="0.2">
      <c r="S151" s="1"/>
      <c r="V151"/>
    </row>
    <row r="152" spans="19:22" x14ac:dyDescent="0.2">
      <c r="S152" s="1"/>
      <c r="V152"/>
    </row>
    <row r="153" spans="19:22" x14ac:dyDescent="0.2">
      <c r="S153" s="1"/>
      <c r="V153"/>
    </row>
    <row r="154" spans="19:22" x14ac:dyDescent="0.2">
      <c r="S154" s="1"/>
      <c r="V154"/>
    </row>
    <row r="155" spans="19:22" x14ac:dyDescent="0.2">
      <c r="S155" s="1"/>
      <c r="V155"/>
    </row>
    <row r="156" spans="19:22" x14ac:dyDescent="0.2">
      <c r="S156" s="1"/>
      <c r="V156"/>
    </row>
    <row r="157" spans="19:22" x14ac:dyDescent="0.2">
      <c r="S157" s="1"/>
      <c r="V157"/>
    </row>
    <row r="158" spans="19:22" x14ac:dyDescent="0.2">
      <c r="S158" s="1"/>
      <c r="V158"/>
    </row>
    <row r="159" spans="19:22" x14ac:dyDescent="0.2">
      <c r="S159" s="1"/>
      <c r="V159"/>
    </row>
    <row r="160" spans="19:22" x14ac:dyDescent="0.2">
      <c r="S160" s="1"/>
      <c r="V160"/>
    </row>
    <row r="161" spans="19:22" x14ac:dyDescent="0.2">
      <c r="S161" s="1"/>
      <c r="V161"/>
    </row>
    <row r="162" spans="19:22" x14ac:dyDescent="0.2">
      <c r="S162" s="1"/>
      <c r="V162"/>
    </row>
    <row r="163" spans="19:22" x14ac:dyDescent="0.2">
      <c r="S163" s="1"/>
      <c r="V163"/>
    </row>
    <row r="164" spans="19:22" x14ac:dyDescent="0.2">
      <c r="S164" s="1"/>
      <c r="V164"/>
    </row>
    <row r="165" spans="19:22" x14ac:dyDescent="0.2">
      <c r="T165" s="1"/>
      <c r="V165"/>
    </row>
    <row r="166" spans="19:22" x14ac:dyDescent="0.2">
      <c r="T166" s="1"/>
      <c r="V166"/>
    </row>
    <row r="167" spans="19:22" x14ac:dyDescent="0.2">
      <c r="T167" s="1"/>
      <c r="V167"/>
    </row>
    <row r="168" spans="19:22" x14ac:dyDescent="0.2">
      <c r="T168" s="1"/>
      <c r="V168"/>
    </row>
    <row r="169" spans="19:22" x14ac:dyDescent="0.2">
      <c r="T169" s="1"/>
      <c r="V169"/>
    </row>
    <row r="170" spans="19:22" x14ac:dyDescent="0.2">
      <c r="T170" s="1"/>
      <c r="V170"/>
    </row>
  </sheetData>
  <protectedRanges>
    <protectedRange sqref="E7:H20 E22:H24 E26:H28 J26:K28 J22:K24 J7:K20 E49:G51 E53:G55 J53:K55 J49:K51 R86:S99 J34:K47 P49:P51 Q127:S129 R105:S107 P53:P55 P34:P47 R75:S77 R60:S73 R79:S81 Q112:S125 E34:G47 R101:S103 Q131:S133" name="DDR2_COMMAND_8LTB"/>
  </protectedRanges>
  <mergeCells count="2">
    <mergeCell ref="A1:E1"/>
    <mergeCell ref="F1:G1"/>
  </mergeCells>
  <phoneticPr fontId="25" type="noConversion"/>
  <conditionalFormatting sqref="A1 F1:Z1">
    <cfRule type="expression" dxfId="130" priority="5" stopIfTrue="1">
      <formula>$F$1 = "Fail"</formula>
    </cfRule>
    <cfRule type="expression" dxfId="129" priority="6" stopIfTrue="1">
      <formula>$F$1 = "Pass"</formula>
    </cfRule>
  </conditionalFormatting>
  <conditionalFormatting sqref="R7:S20 U7:AX20 R22:S24 U22:AX24 R26:S28 U26:AX28 Z34:AA47 AF34:AG47 AI34:AX47 Z49:AA51 AF49:AG51 AI49:AX51 Z53:AA55 AF53:AG55 AI53:AX55 Z60:AA73 AF60:AG73 AO60:AO73 AQ60:AX73 Z75:AA77 AF75:AG77 AO75:AO77 AQ75:AX77 Z79:AA81 AF79:AG81 AO79:AO81 AQ79:AX81 Z86:AA99 AF86:AG99 AM86:AM99 AO86:AO99 AQ86:AX99 Z101:AA103 AF101:AG103 AM101:AM103 AO101:AO103 AQ101:AX103 Z105:AA107 AF105:AG107 AM105:AM107 AO105:AO107 AQ105:AX107 Z112:AA125 AF112:AG125 AO112:AO125 AQ112:AX125 Z127:AA129 AF127:AG129 AO127:AO129 AQ127:AX129 Z131:AA133 AF131:AG133 AO131:AO133 AQ131:AX133">
    <cfRule type="cellIs" priority="1" stopIfTrue="1" operator="equal">
      <formula>"Pass"</formula>
    </cfRule>
    <cfRule type="cellIs" dxfId="128" priority="2" stopIfTrue="1" operator="notEqual">
      <formula>"Pass"</formula>
    </cfRule>
  </conditionalFormatting>
  <conditionalFormatting sqref="T7:T20 T22:T24 T26:T28 AH34:AH47 AH49:AH51 AH53:AH55">
    <cfRule type="cellIs" dxfId="127" priority="3" stopIfTrue="1" operator="equal">
      <formula>"Pass"</formula>
    </cfRule>
    <cfRule type="cellIs" dxfId="126" priority="4" stopIfTrue="1" operator="notEqual">
      <formula>"Pass"</formula>
    </cfRule>
  </conditionalFormatting>
  <pageMargins left="0.75" right="0.75" top="1" bottom="1" header="0.5" footer="0.5"/>
  <pageSetup orientation="portrait" verticalDpi="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Visio.Drawing.11" shapeId="26753" r:id="rId4">
          <objectPr defaultSize="0" autoPict="0" r:id="rId5">
            <anchor moveWithCells="1">
              <from>
                <xdr:col>0</xdr:col>
                <xdr:colOff>161925</xdr:colOff>
                <xdr:row>55</xdr:row>
                <xdr:rowOff>333375</xdr:rowOff>
              </from>
              <to>
                <xdr:col>7</xdr:col>
                <xdr:colOff>742950</xdr:colOff>
                <xdr:row>62</xdr:row>
                <xdr:rowOff>28575</xdr:rowOff>
              </to>
            </anchor>
          </objectPr>
        </oleObject>
      </mc:Choice>
      <mc:Fallback>
        <oleObject progId="Visio.Drawing.11" shapeId="26753" r:id="rId4"/>
      </mc:Fallback>
    </mc:AlternateContent>
    <mc:AlternateContent xmlns:mc="http://schemas.openxmlformats.org/markup-compatibility/2006">
      <mc:Choice Requires="x14">
        <oleObject progId="Visio.Drawing.11" shapeId="26754" r:id="rId6">
          <objectPr defaultSize="0" autoPict="0" r:id="rId7">
            <anchor moveWithCells="1">
              <from>
                <xdr:col>0</xdr:col>
                <xdr:colOff>1171575</xdr:colOff>
                <xdr:row>64</xdr:row>
                <xdr:rowOff>66675</xdr:rowOff>
              </from>
              <to>
                <xdr:col>12</xdr:col>
                <xdr:colOff>981075</xdr:colOff>
                <xdr:row>89</xdr:row>
                <xdr:rowOff>76200</xdr:rowOff>
              </to>
            </anchor>
          </objectPr>
        </oleObject>
      </mc:Choice>
      <mc:Fallback>
        <oleObject progId="Visio.Drawing.11" shapeId="26754" r:id="rId6"/>
      </mc:Fallback>
    </mc:AlternateContent>
  </oleObject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1"/>
  <dimension ref="A1:AL69"/>
  <sheetViews>
    <sheetView topLeftCell="Z1" zoomScale="75" workbookViewId="0">
      <selection activeCell="AS27" sqref="AS27"/>
    </sheetView>
  </sheetViews>
  <sheetFormatPr defaultRowHeight="12.75" x14ac:dyDescent="0.2"/>
  <cols>
    <col min="1" max="1" width="15.7109375" style="2" customWidth="1"/>
    <col min="2" max="2" width="10.7109375" style="2" customWidth="1"/>
    <col min="3" max="3" width="8.42578125" style="2" customWidth="1"/>
    <col min="4" max="4" width="0.85546875" style="2" customWidth="1"/>
    <col min="5" max="5" width="10.42578125" style="2" customWidth="1"/>
    <col min="6" max="6" width="9.7109375" style="2" customWidth="1"/>
    <col min="7" max="7" width="10" style="2" customWidth="1"/>
    <col min="8" max="8" width="10.28515625" style="2" customWidth="1"/>
    <col min="9" max="9" width="18.140625" style="2" customWidth="1"/>
    <col min="10" max="10" width="0.85546875" style="2" customWidth="1"/>
    <col min="11" max="11" width="10" style="2" bestFit="1" customWidth="1"/>
    <col min="12" max="12" width="0.85546875" style="2" customWidth="1"/>
    <col min="13" max="13" width="16" style="2" customWidth="1"/>
    <col min="14" max="14" width="17.140625" style="2" bestFit="1" customWidth="1"/>
    <col min="15" max="15" width="0.85546875" style="2" customWidth="1"/>
    <col min="16" max="16" width="12.7109375" style="2" customWidth="1"/>
    <col min="17" max="17" width="10.7109375" style="2" customWidth="1"/>
    <col min="18" max="18" width="14.42578125" style="2" customWidth="1"/>
    <col min="19" max="19" width="13.42578125" style="2" customWidth="1"/>
    <col min="20" max="21" width="13.5703125" style="2" customWidth="1"/>
    <col min="22" max="22" width="23.42578125" style="2" customWidth="1"/>
    <col min="23" max="23" width="23.5703125" style="2" customWidth="1"/>
    <col min="24" max="24" width="14.5703125" style="2" customWidth="1"/>
    <col min="25" max="25" width="16.85546875" style="2" customWidth="1"/>
    <col min="26" max="26" width="20" style="2" customWidth="1"/>
    <col min="27" max="27" width="14.85546875" style="2" customWidth="1"/>
    <col min="28" max="28" width="17.85546875" style="2" customWidth="1"/>
    <col min="29" max="29" width="11.5703125" style="2" customWidth="1"/>
    <col min="30" max="30" width="11.28515625" style="2" customWidth="1"/>
    <col min="31" max="31" width="11.85546875" style="2" customWidth="1"/>
    <col min="32" max="32" width="11.5703125" style="2" customWidth="1"/>
    <col min="33" max="33" width="17.42578125" style="2" customWidth="1"/>
    <col min="34" max="34" width="20.85546875" style="2" customWidth="1"/>
    <col min="35" max="36" width="18.140625" style="2" customWidth="1"/>
    <col min="37" max="37" width="15.28515625" style="2" customWidth="1"/>
    <col min="38" max="38" width="18" style="2" customWidth="1"/>
    <col min="39" max="39" width="23.7109375" style="2" customWidth="1"/>
    <col min="40" max="40" width="24.85546875" style="2" customWidth="1"/>
    <col min="41" max="46" width="14.7109375" style="2" customWidth="1"/>
    <col min="47" max="47" width="9" style="2" customWidth="1"/>
    <col min="48" max="48" width="8.85546875" style="2" customWidth="1"/>
    <col min="49" max="49" width="9.28515625" style="2" customWidth="1"/>
    <col min="50" max="50" width="9.140625" style="2"/>
    <col min="51" max="51" width="18" style="2" customWidth="1"/>
    <col min="52" max="52" width="13.85546875" style="2" customWidth="1"/>
    <col min="53" max="53" width="15.5703125" style="2" customWidth="1"/>
    <col min="54" max="54" width="10.7109375" style="2" customWidth="1"/>
    <col min="55" max="16384" width="9.140625" style="2"/>
  </cols>
  <sheetData>
    <row r="1" spans="1:36" ht="26.25" x14ac:dyDescent="0.2">
      <c r="A1" s="1001" t="s">
        <v>68</v>
      </c>
      <c r="B1" s="1001"/>
      <c r="C1" s="1001"/>
      <c r="D1" s="1001"/>
      <c r="E1" s="1001"/>
      <c r="F1" s="1002" t="e">
        <f ca="1">IF(AND(AJ7="Pass",AJ8="Pass",AJ10="Pass",AJ11="Pass",AJ13="Pass",AJ14="Pass",AK20="Pass"),"Pass","Fail")</f>
        <v>#REF!</v>
      </c>
      <c r="G1" s="1002"/>
    </row>
    <row r="2" spans="1:36" s="82" customFormat="1" x14ac:dyDescent="0.2">
      <c r="A2" s="427" t="s">
        <v>58</v>
      </c>
      <c r="B2" s="428" t="e">
        <f>MeasureUnits</f>
        <v>#REF!</v>
      </c>
      <c r="C2" s="83"/>
      <c r="D2" s="83"/>
      <c r="E2" s="83"/>
      <c r="F2" s="122"/>
      <c r="G2" s="122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237"/>
    </row>
    <row r="3" spans="1:36" s="133" customFormat="1" ht="45" customHeight="1" x14ac:dyDescent="0.2">
      <c r="A3" s="123" t="s">
        <v>494</v>
      </c>
      <c r="B3" s="123" t="s">
        <v>457</v>
      </c>
      <c r="C3" s="193" t="s">
        <v>70</v>
      </c>
      <c r="D3" s="130"/>
      <c r="E3" s="127" t="e">
        <f>"Escape
Length L0
 ["&amp;$B$2&amp;"]"</f>
        <v>#REF!</v>
      </c>
      <c r="F3" s="127" t="e">
        <f>"Breakout
Length L1
["&amp; $B$2&amp;"]"</f>
        <v>#REF!</v>
      </c>
      <c r="G3" s="127" t="e">
        <f>"Main
Length L2
[" &amp;$B$2&amp; " ]"</f>
        <v>#REF!</v>
      </c>
      <c r="H3" s="127" t="e">
        <f>"Breakin
Length S1  
[" &amp;$B$2&amp;"]"</f>
        <v>#REF!</v>
      </c>
      <c r="I3" s="130" t="e">
        <f>"Via-to-via (SODIMM-to-Rt) L3 [" &amp;$B$2&amp;"]"</f>
        <v>#REF!</v>
      </c>
      <c r="J3" s="129"/>
      <c r="K3" s="130" t="e">
        <f>"Via-to-Rt 
L4 [" &amp;$B$2&amp;"]"</f>
        <v>#REF!</v>
      </c>
      <c r="L3" s="129"/>
      <c r="M3" s="128" t="e">
        <f>"Total MB Length
(L0+L1+L2+S1)
[" &amp;$B$2&amp;"]"</f>
        <v>#REF!</v>
      </c>
      <c r="N3" s="129" t="e">
        <f>"Total Pad-to-Pin Length (P1+L0+L1+L2+S1)
[" &amp;$B$2&amp;"]"</f>
        <v>#REF!</v>
      </c>
      <c r="O3" s="130"/>
      <c r="P3" s="131" t="s">
        <v>71</v>
      </c>
      <c r="Q3" s="130" t="e">
        <f>"Target Min Length 
["&amp;$B$2&amp;"]"</f>
        <v>#REF!</v>
      </c>
      <c r="R3" s="129" t="e">
        <f>"Target Max Length 
["&amp;$B$2&amp;"]"</f>
        <v>#REF!</v>
      </c>
      <c r="S3" s="131" t="e">
        <f>"Routed Too Short [" &amp;$B$2&amp;"]"</f>
        <v>#REF!</v>
      </c>
      <c r="T3" s="130" t="e">
        <f>"Routed Too Long [" &amp;$B$2&amp;"]"</f>
        <v>#REF!</v>
      </c>
      <c r="U3" s="132" t="e">
        <f>"L0 Length Test (&lt;=" &amp; IF($B$2="mil",1,0.0254)*50&amp;$B$2&amp;")"</f>
        <v>#REF!</v>
      </c>
      <c r="V3" s="132" t="e">
        <f>"L1 Length Test (&lt;=" &amp; IF($B$2="mil",1,0.0254)*500&amp;$B$2&amp;")"</f>
        <v>#REF!</v>
      </c>
      <c r="W3" s="132" t="e">
        <f>"S1 Length test (&lt;=" &amp; IF($B$2="mil",1,0.0254)*200 &amp;$B$2&amp;")"</f>
        <v>#REF!</v>
      </c>
      <c r="X3" s="129" t="e">
        <f>"Total Length    (L0+L1+L2+S1) Test
 ("&amp;IF($B$2="mil",1,0.0254)*500&amp;"-"&amp;IF($B$2="mil",1,0.0254)*3500&amp;IF($B$2="mil","mil","mm")&amp;")"</f>
        <v>#REF!</v>
      </c>
      <c r="Y3" s="129" t="e">
        <f>"Total Length    (P1+L0+L1+L2+S1) Test
 (&lt;="&amp;IF($B$2="mil",1,25.4)*4000&amp;IF($B$2="mil","mil","mm")&amp;")"</f>
        <v>#REF!</v>
      </c>
      <c r="Z3" s="129" t="e">
        <f>"L3 Length Test (&lt;="&amp;IF($B$2="mil",1,0.0254)*1300&amp;$B$2&amp; ")"</f>
        <v>#REF!</v>
      </c>
      <c r="AA3" s="129" t="e">
        <f>"L4 Length Test (&lt;=" &amp; IF($B$2="mil",1,0.0254)*200&amp;$B$2&amp;") or (L3+L4&lt;= "&amp;IF($B$2="mil",1,0.0254)*1500&amp;$B$2&amp;")"</f>
        <v>#REF!</v>
      </c>
    </row>
    <row r="4" spans="1:36" s="4" customFormat="1" ht="12.75" customHeight="1" x14ac:dyDescent="0.2">
      <c r="A4" s="415" t="s">
        <v>259</v>
      </c>
      <c r="B4" s="134"/>
      <c r="C4" s="134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6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  <c r="AA4" s="243"/>
      <c r="AB4" s="138"/>
    </row>
    <row r="5" spans="1:36" s="4" customFormat="1" ht="11.25" x14ac:dyDescent="0.2">
      <c r="A5" s="140" t="s">
        <v>66</v>
      </c>
      <c r="B5" s="141"/>
      <c r="C5" s="141"/>
      <c r="D5" s="142"/>
      <c r="E5" s="143"/>
      <c r="F5" s="143"/>
      <c r="G5" s="143"/>
      <c r="H5" s="143"/>
      <c r="I5" s="144"/>
      <c r="J5" s="144"/>
      <c r="K5" s="143"/>
      <c r="L5" s="144"/>
      <c r="M5" s="143"/>
      <c r="N5" s="145"/>
      <c r="O5" s="142"/>
      <c r="P5" s="518"/>
      <c r="Q5" s="481" t="e">
        <f>MIN('DDR2 Clocks - 2L'!$R$10:$R$13)</f>
        <v>#REF!</v>
      </c>
      <c r="R5" s="481" t="e">
        <f>MAX('DDR2 Clocks - 2L'!$R$10:$R$13)</f>
        <v>#REF!</v>
      </c>
      <c r="S5" s="145"/>
      <c r="T5" s="145"/>
      <c r="U5" s="145"/>
      <c r="V5" s="482"/>
      <c r="W5" s="483"/>
      <c r="X5" s="483"/>
      <c r="Y5" s="483"/>
      <c r="Z5" s="483"/>
      <c r="AA5" s="484"/>
    </row>
    <row r="6" spans="1:36" s="4" customFormat="1" ht="11.25" x14ac:dyDescent="0.2">
      <c r="A6" s="415" t="s">
        <v>260</v>
      </c>
      <c r="B6" s="134"/>
      <c r="C6" s="134"/>
      <c r="D6" s="155"/>
      <c r="E6" s="156"/>
      <c r="F6" s="156"/>
      <c r="G6" s="156"/>
      <c r="H6" s="156"/>
      <c r="I6" s="157"/>
      <c r="J6" s="156"/>
      <c r="K6" s="157"/>
      <c r="L6" s="156"/>
      <c r="M6" s="156"/>
      <c r="N6" s="156"/>
      <c r="O6" s="155"/>
      <c r="P6" s="155"/>
      <c r="Q6" s="155"/>
      <c r="R6" s="476"/>
      <c r="S6" s="155"/>
      <c r="T6" s="155"/>
      <c r="U6" s="155"/>
      <c r="V6" s="155"/>
      <c r="W6" s="155"/>
      <c r="X6" s="155"/>
      <c r="Y6" s="155"/>
      <c r="Z6" s="155"/>
      <c r="AA6" s="478"/>
    </row>
    <row r="7" spans="1:36" s="4" customFormat="1" x14ac:dyDescent="0.2">
      <c r="A7" s="503" t="s">
        <v>80</v>
      </c>
      <c r="B7" s="573" t="s">
        <v>388</v>
      </c>
      <c r="C7" s="562">
        <v>468.42519685039372</v>
      </c>
      <c r="D7" s="200"/>
      <c r="E7" s="17">
        <v>22.63</v>
      </c>
      <c r="F7" s="246">
        <v>0</v>
      </c>
      <c r="G7">
        <v>1700</v>
      </c>
      <c r="H7">
        <v>135.41999999999999</v>
      </c>
      <c r="I7" s="165">
        <v>0</v>
      </c>
      <c r="J7" s="167"/>
      <c r="K7" s="551">
        <v>41.81</v>
      </c>
      <c r="L7" s="316"/>
      <c r="M7" s="490">
        <f xml:space="preserve"> E7+F7+G7+H7</f>
        <v>1858.0500000000002</v>
      </c>
      <c r="N7" s="479" t="e">
        <f>IF($B$2="mil",1,0.0254)*C7+ M7</f>
        <v>#REF!</v>
      </c>
      <c r="O7" s="468"/>
      <c r="P7" s="479" t="e">
        <f>N7-($Q$5-1250)</f>
        <v>#REF!</v>
      </c>
      <c r="Q7" s="469" t="e">
        <f>MAX($Q$5:$R$5)+IF($B$2="mil",1,0.0254)*DDR2Specs!$B$6</f>
        <v>#REF!</v>
      </c>
      <c r="R7" s="469" t="e">
        <f>MIN($Q$5:$R$5)+IF($B$2="mil",1,0.0254)*DDR2Specs!$C$6</f>
        <v>#REF!</v>
      </c>
      <c r="S7" s="491" t="e">
        <f>IF($N7&lt;$Q7,$Q7-$N7,"Pass")</f>
        <v>#REF!</v>
      </c>
      <c r="T7" s="492" t="e">
        <f>IF($N7&gt;$R7,$N7-$R7,"Pass")</f>
        <v>#REF!</v>
      </c>
      <c r="U7" s="472" t="e">
        <f>IF($E7&lt;=IF($B$2="mil",1,0.0254)*50,"Pass",IF($B$2="mil",1,0.0254)*50-$E7)</f>
        <v>#REF!</v>
      </c>
      <c r="V7" s="473" t="e">
        <f>IF($F7&lt;=IF($B$2="mil",1,0.0254)*500,"Pass",IF($B$2="mil",1,0.0254)*500-$F7)</f>
        <v>#REF!</v>
      </c>
      <c r="W7" s="473" t="e">
        <f>IF($H7&lt;=IF($B$2="mil",1,0.0254)*200,"Pass",IF($B$2="mil",1,0.0254)*200-$H7)</f>
        <v>#REF!</v>
      </c>
      <c r="X7" s="473" t="e">
        <f>IF(AND($M7&gt;=IF($B$2="mil",1,0.0254)*500, $M7&lt;=IF($B$2="mil",1,0.0254)*3500),"Pass",IF($B$2="mil",1,0.0254)*3500-$M7)</f>
        <v>#REF!</v>
      </c>
      <c r="Y7" s="473" t="e">
        <f>IF(AND($N7&gt;=IF($B$2="mil",1,0.0254)*500, $N7&lt;=IF($B$2="mil",1,0.0254)*4000),"Pass",IF($B$2="mil",1,0.0254)*4000-$N7)</f>
        <v>#REF!</v>
      </c>
      <c r="Z7" s="473" t="e">
        <f>IF((I7&lt;=IF($B$2="mil",1,0.0254)*1300),"Pass",IF($B$2="mil",1,0.0254)*1300-I7)</f>
        <v>#REF!</v>
      </c>
      <c r="AA7" s="474" t="e">
        <f ca="1">CheckLength2(IF($B$2="mil",1,0.0254)*1500,I7,K7,0)</f>
        <v>#NAME?</v>
      </c>
      <c r="AJ7" s="4" t="e">
        <f ca="1">IF(AND(U7="Pass",Z7="Pass",Y7="Pass",X7="Pass",W7="Pass",V7="Pass",S7="Pass",T7="Pass",AA7="Pass"),"Pass","Fail")</f>
        <v>#REF!</v>
      </c>
    </row>
    <row r="8" spans="1:36" s="4" customFormat="1" x14ac:dyDescent="0.2">
      <c r="A8" s="503" t="s">
        <v>82</v>
      </c>
      <c r="B8" s="573" t="s">
        <v>386</v>
      </c>
      <c r="C8" s="562">
        <v>270.6692913385827</v>
      </c>
      <c r="D8" s="201"/>
      <c r="E8" s="17">
        <v>22.63</v>
      </c>
      <c r="F8" s="246">
        <v>0</v>
      </c>
      <c r="G8">
        <v>1700</v>
      </c>
      <c r="H8">
        <v>126.24</v>
      </c>
      <c r="I8" s="165">
        <v>0</v>
      </c>
      <c r="J8" s="167"/>
      <c r="K8" s="551">
        <v>32.5</v>
      </c>
      <c r="L8" s="316"/>
      <c r="M8" s="490">
        <f xml:space="preserve"> E8+F8+G8+H8</f>
        <v>1848.8700000000001</v>
      </c>
      <c r="N8" s="479" t="e">
        <f>IF($B$2="mil",1,0.0254)*C8+ M8</f>
        <v>#REF!</v>
      </c>
      <c r="O8" s="475"/>
      <c r="P8" s="479" t="e">
        <f>N8-($Q$5-1250)</f>
        <v>#REF!</v>
      </c>
      <c r="Q8" s="469" t="e">
        <f>MAX($Q$5:$R$5)+IF($B$2="mil",1,0.0254)*DDR2Specs!$B$6</f>
        <v>#REF!</v>
      </c>
      <c r="R8" s="469" t="e">
        <f>MIN($Q$5:$R$5)+IF($B$2="mil",1,0.0254)*DDR2Specs!$C$6</f>
        <v>#REF!</v>
      </c>
      <c r="S8" s="491" t="e">
        <f>IF($N8&lt;$Q8,$Q8-$N8,"Pass")</f>
        <v>#REF!</v>
      </c>
      <c r="T8" s="492" t="e">
        <f>IF($N8&gt;$R8,$N8-$R8,"Pass")</f>
        <v>#REF!</v>
      </c>
      <c r="U8" s="472" t="e">
        <f>IF($E8&lt;=IF($B$2="mil",1,0.0254)*50,"Pass",IF($B$2="mil",1,0.0254)*50-$E8)</f>
        <v>#REF!</v>
      </c>
      <c r="V8" s="473" t="e">
        <f>IF($F8&lt;=IF($B$2="mil",1,0.0254)*500,"Pass",IF($B$2="mil",1,0.0254)*500-$F8)</f>
        <v>#REF!</v>
      </c>
      <c r="W8" s="473" t="e">
        <f>IF($H8&lt;=IF($B$2="mil",1,0.0254)*200,"Pass",IF($B$2="mil",1,0.0254)*200-$H8)</f>
        <v>#REF!</v>
      </c>
      <c r="X8" s="473" t="e">
        <f>IF(AND($M8&gt;=IF($B$2="mil",1,0.0254)*500, $M8&lt;=IF($B$2="mil",1,0.0254)*3500),"Pass",IF($B$2="mil",1,0.0254)*3500-$M8)</f>
        <v>#REF!</v>
      </c>
      <c r="Y8" s="473" t="e">
        <f>IF(AND($N8&gt;=IF($B$2="mil",1,0.0254)*500, $N8&lt;=IF($B$2="mil",1,0.0254)*4000),"Pass",IF($B$2="mil",1,0.0254)*4000-$N8)</f>
        <v>#REF!</v>
      </c>
      <c r="Z8" s="473" t="e">
        <f t="shared" ref="Z8:Z14" si="0">IF((I8&lt;=IF($B$2="mil",1,0.0254)*1300),"Pass",IF($B$2="mil",1,0.0254)*1300-I8)</f>
        <v>#REF!</v>
      </c>
      <c r="AA8" s="474" t="e">
        <f ca="1">CheckLength2(IF($B$2="mil",1,0.0254)*1500,I8,K8,0)</f>
        <v>#NAME?</v>
      </c>
      <c r="AJ8" s="4" t="e">
        <f ca="1">IF(AND(U8="Pass",Z8="Pass",Y8="Pass",X8="Pass",W8="Pass",V8="Pass",S8="Pass",T8="Pass",AA8="Pass"),"Pass","Fail")</f>
        <v>#REF!</v>
      </c>
    </row>
    <row r="9" spans="1:36" s="4" customFormat="1" ht="12" x14ac:dyDescent="0.2">
      <c r="A9" s="415" t="s">
        <v>256</v>
      </c>
      <c r="B9" s="134"/>
      <c r="C9" s="566"/>
      <c r="D9" s="155"/>
      <c r="E9" s="313"/>
      <c r="F9" s="314"/>
      <c r="G9" s="315"/>
      <c r="H9" s="315"/>
      <c r="I9" s="317"/>
      <c r="J9" s="183"/>
      <c r="K9" s="317"/>
      <c r="L9" s="182"/>
      <c r="M9" s="519"/>
      <c r="N9" s="182"/>
      <c r="O9" s="182"/>
      <c r="P9" s="182"/>
      <c r="Q9" s="182"/>
      <c r="R9" s="182"/>
      <c r="S9" s="515"/>
      <c r="T9" s="515"/>
      <c r="U9" s="515"/>
      <c r="V9" s="493"/>
      <c r="W9" s="493"/>
      <c r="X9" s="385"/>
      <c r="Y9" s="385"/>
      <c r="Z9" s="385"/>
      <c r="AA9" s="385"/>
    </row>
    <row r="10" spans="1:36" s="4" customFormat="1" x14ac:dyDescent="0.2">
      <c r="A10" s="503" t="s">
        <v>83</v>
      </c>
      <c r="B10" s="573" t="s">
        <v>133</v>
      </c>
      <c r="C10" s="562">
        <v>361.10236220472444</v>
      </c>
      <c r="D10" s="200"/>
      <c r="E10" s="17">
        <v>22.63</v>
      </c>
      <c r="F10" s="246">
        <v>0</v>
      </c>
      <c r="G10">
        <v>1700</v>
      </c>
      <c r="H10">
        <v>89.36</v>
      </c>
      <c r="I10" s="169">
        <v>0</v>
      </c>
      <c r="J10" s="552"/>
      <c r="K10" s="551">
        <v>85.78</v>
      </c>
      <c r="L10" s="316"/>
      <c r="M10" s="490">
        <f xml:space="preserve"> E10+F10+G10+H10</f>
        <v>1811.99</v>
      </c>
      <c r="N10" s="479" t="e">
        <f>IF($B$2="mil",1,0.0254)*C10+ M10</f>
        <v>#REF!</v>
      </c>
      <c r="O10" s="468"/>
      <c r="P10" s="479" t="e">
        <f>N10-($Q$5-1250)</f>
        <v>#REF!</v>
      </c>
      <c r="Q10" s="469" t="e">
        <f>MAX($Q$5:$R$5)+IF($B$2="mil",1,0.0254)*DDR2Specs!$B$6</f>
        <v>#REF!</v>
      </c>
      <c r="R10" s="469" t="e">
        <f>MIN($Q$5:$R$5)+IF($B$2="mil",1,0.0254)*DDR2Specs!$C$6</f>
        <v>#REF!</v>
      </c>
      <c r="S10" s="491" t="e">
        <f>IF($N10&lt;$Q10,$Q10-$N10,"Pass")</f>
        <v>#REF!</v>
      </c>
      <c r="T10" s="492" t="e">
        <f>IF($N10&gt;$R10,$N10-$R10,"Pass")</f>
        <v>#REF!</v>
      </c>
      <c r="U10" s="472" t="e">
        <f>IF($E10&lt;=IF($B$2="mil",1,0.0254)*50,"Pass",IF($B$2="mil",1,0.0254)*50-$E10)</f>
        <v>#REF!</v>
      </c>
      <c r="V10" s="473" t="e">
        <f>IF($F10&lt;=IF($B$2="mil",1,0.0254)*500,"Pass",IF($B$2="mil",1,0.0254)*500-$F10)</f>
        <v>#REF!</v>
      </c>
      <c r="W10" s="473" t="e">
        <f>IF($H10&lt;=IF($B$2="mil",1,0.0254)*200,"Pass",IF($B$2="mil",1,0.0254)*200-$H10)</f>
        <v>#REF!</v>
      </c>
      <c r="X10" s="473" t="e">
        <f>IF(AND($M10&gt;=IF($B$2="mil",1,0.0254)*500, $M10&lt;=IF($B$2="mil",1,0.0254)*3500),"Pass",IF($B$2="mil",1,0.0254)*3500-$M10)</f>
        <v>#REF!</v>
      </c>
      <c r="Y10" s="473" t="e">
        <f>IF(AND($N10&gt;=IF($B$2="mil",1,0.0254)*500, $N10&lt;=IF($B$2="mil",1,0.0254)*4000),"Pass",IF($B$2="mil",1,0.0254)*4000-$N10)</f>
        <v>#REF!</v>
      </c>
      <c r="Z10" s="473" t="e">
        <f t="shared" si="0"/>
        <v>#REF!</v>
      </c>
      <c r="AA10" s="474" t="e">
        <f ca="1">CheckLength2(IF($B$2="mil",1,0.0254)*1500,I10,K10,0)</f>
        <v>#NAME?</v>
      </c>
      <c r="AJ10" s="4" t="e">
        <f ca="1">IF(AND(U10="Pass",Z10="Pass",Y10="Pass",X10="Pass",W10="Pass",V10="Pass",S10="Pass",T10="Pass",AA10="Pass"),"Pass","Fail")</f>
        <v>#REF!</v>
      </c>
    </row>
    <row r="11" spans="1:36" s="4" customFormat="1" x14ac:dyDescent="0.2">
      <c r="A11" s="503" t="s">
        <v>84</v>
      </c>
      <c r="B11" s="573" t="s">
        <v>381</v>
      </c>
      <c r="C11" s="562">
        <v>365.03937007874021</v>
      </c>
      <c r="D11" s="202"/>
      <c r="E11" s="17">
        <v>22.63</v>
      </c>
      <c r="F11" s="246">
        <v>0</v>
      </c>
      <c r="G11">
        <v>1700</v>
      </c>
      <c r="H11">
        <v>126.78</v>
      </c>
      <c r="I11" s="169">
        <v>0</v>
      </c>
      <c r="J11" s="552"/>
      <c r="K11" s="551">
        <v>42.5</v>
      </c>
      <c r="L11" s="316"/>
      <c r="M11" s="490">
        <f xml:space="preserve"> E11+F11+G11+H11</f>
        <v>1849.41</v>
      </c>
      <c r="N11" s="479" t="e">
        <f>IF($B$2="mil",1,0.0254)*C11+ M11</f>
        <v>#REF!</v>
      </c>
      <c r="O11" s="520"/>
      <c r="P11" s="479" t="e">
        <f>N11-($Q$5-1250)</f>
        <v>#REF!</v>
      </c>
      <c r="Q11" s="469" t="e">
        <f>MAX($Q$5:$R$5)+IF($B$2="mil",1,0.0254)*DDR2Specs!$B$6</f>
        <v>#REF!</v>
      </c>
      <c r="R11" s="469" t="e">
        <f>MIN($Q$5:$R$5)+IF($B$2="mil",1,0.0254)*DDR2Specs!$C$6</f>
        <v>#REF!</v>
      </c>
      <c r="S11" s="491" t="e">
        <f>IF($N11&lt;$Q11,$Q11-$N11,"Pass")</f>
        <v>#REF!</v>
      </c>
      <c r="T11" s="492" t="e">
        <f>IF($N11&gt;$R11,$N11-$R11,"Pass")</f>
        <v>#REF!</v>
      </c>
      <c r="U11" s="472" t="e">
        <f>IF($E11&lt;=IF($B$2="mil",1,0.0254)*50,"Pass",IF($B$2="mil",1,0.0254)*50-$E11)</f>
        <v>#REF!</v>
      </c>
      <c r="V11" s="473" t="e">
        <f>IF($F11&lt;=IF($B$2="mil",1,0.0254)*500,"Pass",IF($B$2="mil",1,0.0254)*500-$F11)</f>
        <v>#REF!</v>
      </c>
      <c r="W11" s="473" t="e">
        <f>IF($H11&lt;=IF($B$2="mil",1,0.0254)*200,"Pass",IF($B$2="mil",1,0.0254)*200-$H11)</f>
        <v>#REF!</v>
      </c>
      <c r="X11" s="473" t="e">
        <f>IF(AND($M11&gt;=IF($B$2="mil",1,0.0254)*500, $M11&lt;=IF($B$2="mil",1,0.0254)*3500),"Pass",IF($B$2="mil",1,0.0254)*3500-$M11)</f>
        <v>#REF!</v>
      </c>
      <c r="Y11" s="473" t="e">
        <f>IF(AND($N11&gt;=IF($B$2="mil",1,0.0254)*500, $N11&lt;=IF($B$2="mil",1,0.0254)*4000),"Pass",IF($B$2="mil",1,0.0254)*4000-$N11)</f>
        <v>#REF!</v>
      </c>
      <c r="Z11" s="473" t="e">
        <f t="shared" si="0"/>
        <v>#REF!</v>
      </c>
      <c r="AA11" s="474" t="e">
        <f ca="1">CheckLength2(IF($B$2="mil",1,0.0254)*1500,I11,K11,0)</f>
        <v>#NAME?</v>
      </c>
      <c r="AJ11" s="4" t="e">
        <f ca="1">IF(AND(U11="Pass",Z11="Pass",Y11="Pass",X11="Pass",W11="Pass",V11="Pass",S11="Pass",T11="Pass",AA11="Pass"),"Pass","Fail")</f>
        <v>#REF!</v>
      </c>
    </row>
    <row r="12" spans="1:36" s="4" customFormat="1" ht="12" x14ac:dyDescent="0.2">
      <c r="A12" s="415" t="s">
        <v>257</v>
      </c>
      <c r="B12" s="134"/>
      <c r="C12" s="566"/>
      <c r="D12" s="155"/>
      <c r="E12" s="313"/>
      <c r="F12" s="314"/>
      <c r="G12" s="315"/>
      <c r="H12" s="315"/>
      <c r="I12" s="553"/>
      <c r="J12" s="554"/>
      <c r="K12" s="553"/>
      <c r="L12" s="182"/>
      <c r="M12" s="519"/>
      <c r="N12" s="182"/>
      <c r="O12" s="182"/>
      <c r="P12" s="182"/>
      <c r="Q12" s="182"/>
      <c r="R12" s="182"/>
      <c r="S12" s="515"/>
      <c r="T12" s="515"/>
      <c r="U12" s="515"/>
      <c r="V12" s="493"/>
      <c r="W12" s="493"/>
      <c r="X12" s="385"/>
      <c r="Y12" s="385"/>
      <c r="Z12" s="385"/>
      <c r="AA12" s="385"/>
    </row>
    <row r="13" spans="1:36" s="4" customFormat="1" x14ac:dyDescent="0.2">
      <c r="A13" s="503" t="s">
        <v>85</v>
      </c>
      <c r="B13" s="573" t="s">
        <v>364</v>
      </c>
      <c r="C13" s="562">
        <v>280.70866141732284</v>
      </c>
      <c r="D13" s="200"/>
      <c r="E13" s="17">
        <v>22.63</v>
      </c>
      <c r="F13" s="246">
        <v>0</v>
      </c>
      <c r="G13">
        <v>1700</v>
      </c>
      <c r="H13">
        <v>126.91</v>
      </c>
      <c r="I13" s="169">
        <v>0</v>
      </c>
      <c r="J13" s="552"/>
      <c r="K13" s="551">
        <v>32.5</v>
      </c>
      <c r="L13" s="316"/>
      <c r="M13" s="490">
        <f xml:space="preserve"> E13+F13+G13+H13</f>
        <v>1849.5400000000002</v>
      </c>
      <c r="N13" s="479" t="e">
        <f>IF($B$2="mil",1,0.0254)*C13+ M13</f>
        <v>#REF!</v>
      </c>
      <c r="O13" s="468"/>
      <c r="P13" s="479" t="e">
        <f>N13-($Q$5-1250)</f>
        <v>#REF!</v>
      </c>
      <c r="Q13" s="469" t="e">
        <f>MAX($Q$5:$R$5)+IF($B$2="mil",1,0.0254)*DDR2Specs!$B$6</f>
        <v>#REF!</v>
      </c>
      <c r="R13" s="469" t="e">
        <f>MIN($Q$5:$R$5)+IF($B$2="mil",1,0.0254)*DDR2Specs!$C$6</f>
        <v>#REF!</v>
      </c>
      <c r="S13" s="491" t="e">
        <f>IF($N13&lt;$Q13,$Q13-$N13,"Pass")</f>
        <v>#REF!</v>
      </c>
      <c r="T13" s="492" t="e">
        <f>IF($N13&gt;$R13,$N13-$R13,"Pass")</f>
        <v>#REF!</v>
      </c>
      <c r="U13" s="472" t="e">
        <f>IF($E13&lt;=IF($B$2="mil",1,0.0254)*50,"Pass",IF($B$2="mil",1,0.0254)*50-$E13)</f>
        <v>#REF!</v>
      </c>
      <c r="V13" s="473" t="e">
        <f>IF($F13&lt;=IF($B$2="mil",1,0.0254)*500,"Pass",IF($B$2="mil",1,0.0254)*500-$F13)</f>
        <v>#REF!</v>
      </c>
      <c r="W13" s="473" t="e">
        <f>IF($H13&lt;=IF($B$2="mil",1,0.0254)*200,"Pass",IF($B$2="mil",1,0.0254)*200-$H13)</f>
        <v>#REF!</v>
      </c>
      <c r="X13" s="473" t="e">
        <f>IF(AND($M13&gt;=IF($B$2="mil",1,0.0254)*500, $M13&lt;=IF($B$2="mil",1,0.0254)*3500),"Pass",IF($B$2="mil",1,0.0254)*3500-$M13)</f>
        <v>#REF!</v>
      </c>
      <c r="Y13" s="473" t="e">
        <f>IF(AND($N13&gt;=IF($B$2="mil",1,0.0254)*500, $N13&lt;=IF($B$2="mil",1,0.0254)*4000),"Pass",IF($B$2="mil",1,0.0254)*4000-$N13)</f>
        <v>#REF!</v>
      </c>
      <c r="Z13" s="473" t="e">
        <f t="shared" si="0"/>
        <v>#REF!</v>
      </c>
      <c r="AA13" s="474" t="e">
        <f ca="1">CheckLength2(IF($B$2="mil",1,0.0254)*1500,I13,K13,0)</f>
        <v>#NAME?</v>
      </c>
      <c r="AJ13" s="4" t="e">
        <f ca="1">IF(AND(U13="Pass",Z13="Pass",Y13="Pass",X13="Pass",W13="Pass",V13="Pass",S13="Pass",T13="Pass",AA13="Pass"),"Pass","Fail")</f>
        <v>#REF!</v>
      </c>
    </row>
    <row r="14" spans="1:36" s="4" customFormat="1" x14ac:dyDescent="0.2">
      <c r="A14" s="503" t="s">
        <v>86</v>
      </c>
      <c r="B14" s="573" t="s">
        <v>385</v>
      </c>
      <c r="C14" s="562">
        <v>459.64566929133861</v>
      </c>
      <c r="D14" s="201"/>
      <c r="E14" s="17">
        <v>22.63</v>
      </c>
      <c r="F14" s="246">
        <v>0</v>
      </c>
      <c r="G14">
        <v>1700</v>
      </c>
      <c r="H14">
        <v>132.19999999999999</v>
      </c>
      <c r="I14" s="169">
        <v>0</v>
      </c>
      <c r="J14" s="552"/>
      <c r="K14" s="551">
        <v>44.57</v>
      </c>
      <c r="L14" s="316"/>
      <c r="M14" s="490">
        <f xml:space="preserve"> E14+F14+G14+H14</f>
        <v>1854.8300000000002</v>
      </c>
      <c r="N14" s="479" t="e">
        <f>IF($B$2="mil",1,0.0254)*C14+ M14</f>
        <v>#REF!</v>
      </c>
      <c r="O14" s="475"/>
      <c r="P14" s="479" t="e">
        <f>N14-($Q$5-1250)</f>
        <v>#REF!</v>
      </c>
      <c r="Q14" s="469" t="e">
        <f>MAX($Q$5:$R$5)+IF($B$2="mil",1,0.0254)*DDR2Specs!$B$6</f>
        <v>#REF!</v>
      </c>
      <c r="R14" s="469" t="e">
        <f>MIN($Q$5:$R$5)+IF($B$2="mil",1,0.0254)*DDR2Specs!$C$6</f>
        <v>#REF!</v>
      </c>
      <c r="S14" s="491" t="e">
        <f>IF($N14&lt;$Q14,$Q14-$N14,"Pass")</f>
        <v>#REF!</v>
      </c>
      <c r="T14" s="492" t="e">
        <f>IF($N14&gt;$R14,$N14-$R14,"Pass")</f>
        <v>#REF!</v>
      </c>
      <c r="U14" s="472" t="e">
        <f>IF($E14&lt;=IF($B$2="mil",1,0.0254)*50,"Pass",IF($B$2="mil",1,0.0254)*50-$E14)</f>
        <v>#REF!</v>
      </c>
      <c r="V14" s="473" t="e">
        <f>IF($F14&lt;=IF($B$2="mil",1,0.0254)*500,"Pass",IF($B$2="mil",1,0.0254)*500-$F14)</f>
        <v>#REF!</v>
      </c>
      <c r="W14" s="473" t="e">
        <f>IF($H14&lt;=IF($B$2="mil",1,0.0254)*200,"Pass",IF($B$2="mil",1,0.0254)*200-$H14)</f>
        <v>#REF!</v>
      </c>
      <c r="X14" s="473" t="e">
        <f>IF(AND($M14&gt;=IF($B$2="mil",1,0.0254)*500, $M14&lt;=IF($B$2="mil",1,0.0254)*3500),"Pass",IF($B$2="mil",1,0.0254)*3500-$M14)</f>
        <v>#REF!</v>
      </c>
      <c r="Y14" s="473" t="e">
        <f>IF(AND($N14&gt;=IF($B$2="mil",1,0.0254)*500, $N14&lt;=IF($B$2="mil",1,0.0254)*4000),"Pass",IF($B$2="mil",1,0.0254)*4000-$N14)</f>
        <v>#REF!</v>
      </c>
      <c r="Z14" s="473" t="e">
        <f t="shared" si="0"/>
        <v>#REF!</v>
      </c>
      <c r="AA14" s="474" t="e">
        <f ca="1">CheckLength2(IF($B$2="mil",1,0.0254)*1500,I14,K14,0)</f>
        <v>#NAME?</v>
      </c>
      <c r="AJ14" s="4" t="e">
        <f ca="1">IF(AND(U14="Pass",Z14="Pass",Y14="Pass",X14="Pass",W14="Pass",V14="Pass",S14="Pass",T14="Pass",AA14="Pass"),"Pass","Fail")</f>
        <v>#REF!</v>
      </c>
    </row>
    <row r="15" spans="1:36" ht="12.75" customHeight="1" x14ac:dyDescent="0.2">
      <c r="A15" s="517"/>
      <c r="B15" s="33"/>
      <c r="C15" s="571"/>
      <c r="D15" s="33"/>
      <c r="E15" s="33"/>
      <c r="F15" s="34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521"/>
      <c r="W15" s="33"/>
      <c r="X15" s="522"/>
      <c r="Y15" s="33"/>
      <c r="Z15" s="33"/>
      <c r="AA15" s="18"/>
    </row>
    <row r="16" spans="1:36" s="133" customFormat="1" ht="22.5" x14ac:dyDescent="0.2">
      <c r="A16" s="499" t="s">
        <v>494</v>
      </c>
      <c r="B16" s="495" t="s">
        <v>457</v>
      </c>
      <c r="C16" s="570" t="s">
        <v>70</v>
      </c>
      <c r="D16" s="130"/>
      <c r="E16" s="127" t="e">
        <f>"Escape
Length L0
 ["&amp;$B$2&amp;"]"</f>
        <v>#REF!</v>
      </c>
      <c r="F16" s="127" t="e">
        <f>"Breakout
Length L1
["&amp; $B$2&amp;"]"</f>
        <v>#REF!</v>
      </c>
      <c r="G16" s="127" t="e">
        <f>"Main
Length L2
[" &amp;$B$2&amp; " ]"</f>
        <v>#REF!</v>
      </c>
      <c r="H16" s="127"/>
      <c r="I16" s="130" t="e">
        <f>"Via-to-via (SODIMM-to-Rt) L3 [" &amp;$B$2&amp;"]"</f>
        <v>#REF!</v>
      </c>
      <c r="J16" s="129"/>
      <c r="K16" s="130" t="e">
        <f>"Via-to-Rt 
L4 [" &amp;$B$2&amp;"]"</f>
        <v>#REF!</v>
      </c>
      <c r="L16" s="129"/>
      <c r="M16" s="123" t="e">
        <f>"Trace L5 ["&amp;$B$2&amp;"]"</f>
        <v>#REF!</v>
      </c>
      <c r="N16" s="123" t="e">
        <f>"Trace L6-1 ["&amp;$B$2&amp;"]"</f>
        <v>#REF!</v>
      </c>
      <c r="O16" s="123"/>
      <c r="P16" s="123" t="e">
        <f>"Trace L7-1 ["&amp;$B$2&amp;"]"</f>
        <v>#REF!</v>
      </c>
      <c r="Q16" s="123" t="e">
        <f>"Trace L8-1 ["&amp;$B$2&amp;"]"</f>
        <v>#REF!</v>
      </c>
      <c r="R16" s="123" t="e">
        <f>"Total MB Length to U1 (L0+L1+L2+L5+L6-1+L7-1+L8-1) ["&amp;$B$2&amp;"]"</f>
        <v>#REF!</v>
      </c>
      <c r="S16" s="123" t="e">
        <f>"Total Pad to Pin U1 (P1+L0+L1+L2+L5+L6-1+L7-1+L8-1) ["&amp;$B$2&amp;"]"</f>
        <v>#REF!</v>
      </c>
      <c r="T16" s="130" t="e">
        <f>"Target Min Length to U1
["&amp;$B$2&amp;"]"</f>
        <v>#REF!</v>
      </c>
      <c r="U16" s="129" t="e">
        <f>"Target Max Length  to U1 
["&amp;$B$2&amp;"]"</f>
        <v>#REF!</v>
      </c>
      <c r="V16" s="131" t="e">
        <f>"Routed Too Short  to U1 [" &amp;$B$2&amp;"]"</f>
        <v>#REF!</v>
      </c>
      <c r="W16" s="130" t="e">
        <f>"Routed Too Long  to U1 [" &amp;$B$2&amp;"]"</f>
        <v>#REF!</v>
      </c>
      <c r="X16" s="132" t="e">
        <f>"L0 Length Test (&lt;=" &amp; IF($B$2="mil",1,0.0254)*50&amp;$B$2&amp;")"</f>
        <v>#REF!</v>
      </c>
      <c r="Y16" s="132" t="e">
        <f>"L1 Length Test (&lt;=" &amp; IF($B$2="mil",1,0.0254)*500&amp;$B$2&amp;")"</f>
        <v>#REF!</v>
      </c>
      <c r="Z16" s="132" t="e">
        <f>"L3 Length Test (&lt;=" &amp; IF($B$2="mil",1,0.0254)*1000&amp;$B$2&amp;")"</f>
        <v>#REF!</v>
      </c>
      <c r="AA16" s="132" t="e">
        <f>"L4 Length Test (&lt;=" &amp; IF($B$2="mil",1,0.0254)*200&amp;$B$2&amp;") or (L3+L4&lt;= "&amp;IF($B$2="mil",1,0.0254)*1200&amp;$B$2&amp;")"</f>
        <v>#REF!</v>
      </c>
      <c r="AB16" s="132" t="e">
        <f>"L5 Length Test (&lt;=" &amp; IF($B$2="mil",1,0.0254)*1500&amp;$B$2&amp;")"</f>
        <v>#REF!</v>
      </c>
      <c r="AC16" s="132" t="e">
        <f>"L6-1 Length Test (&lt;=" &amp; IF($B$2="mil",1,0.0254)*1000&amp;$B$2&amp;")"</f>
        <v>#REF!</v>
      </c>
      <c r="AD16" s="132" t="e">
        <f>"Diff L6-1 &amp; L6-2 (&lt;="&amp;IF($B$2="mil",1,0.0254)*50&amp;$B$2&amp;")"</f>
        <v>#REF!</v>
      </c>
      <c r="AE16" s="132" t="e">
        <f>"L7-1 Length Test (&lt;=" &amp; IF($B$2="mil",1,0.0254)*1250&amp;$B$2&amp;")"</f>
        <v>#REF!</v>
      </c>
      <c r="AF16" s="132" t="e">
        <f>"Diff L7-1 &amp; L7-2 (&lt;="&amp;IF($B$2="mil",1,0.0254)*50&amp;$B$2&amp;")"</f>
        <v>#REF!</v>
      </c>
      <c r="AG16" s="132" t="e">
        <f>"L8-1 Length Test (&lt;=" &amp; IF($B$2="mil",1,0.0254)*200&amp;$B$2&amp;") or (L7-1+L8-1&lt;= "&amp;IF($B$2="mil",1,0.0254)*1450&amp;$B$2&amp;")"</f>
        <v>#REF!</v>
      </c>
      <c r="AH16" s="129" t="e">
        <f>"Total Length to U1 (L0+L1+L2+L5+L6-1+L7-1+L8-1) Test
 ("&amp;IF($B$2="mil",1,0.0254)*500&amp;"-"&amp;IF($B$2="mil",1,0.0254)*6500&amp;IF($B$2="mil","mil","mm")&amp;")"</f>
        <v>#REF!</v>
      </c>
      <c r="AI16" s="129" t="e">
        <f>"Total Length to U1 (P1+L0+L1+L2+L5+L6-1+L7-1+L8-1) Test
 (&lt;="&amp;IF($B$2="mil",1,25.4)*7000&amp;IF($B$2="mil","mil","mm")&amp;")"</f>
        <v>#REF!</v>
      </c>
      <c r="AJ16" s="4"/>
    </row>
    <row r="17" spans="1:38" s="4" customFormat="1" ht="12.75" customHeight="1" x14ac:dyDescent="0.2">
      <c r="A17" s="134" t="s">
        <v>258</v>
      </c>
      <c r="B17" s="134"/>
      <c r="C17" s="566"/>
      <c r="D17" s="135"/>
      <c r="E17" s="135"/>
      <c r="F17" s="194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95"/>
      <c r="S17" s="195"/>
      <c r="T17" s="195"/>
      <c r="U17" s="195"/>
      <c r="V17" s="195"/>
      <c r="W17" s="195"/>
      <c r="X17" s="187"/>
      <c r="Y17" s="195"/>
      <c r="Z17" s="195"/>
      <c r="AA17" s="195"/>
      <c r="AB17" s="195"/>
      <c r="AC17" s="195"/>
      <c r="AD17" s="195"/>
      <c r="AE17" s="195"/>
      <c r="AF17" s="195"/>
      <c r="AG17" s="195"/>
      <c r="AH17" s="195"/>
      <c r="AI17" s="243"/>
    </row>
    <row r="18" spans="1:38" s="4" customFormat="1" ht="11.25" x14ac:dyDescent="0.2">
      <c r="A18" s="140" t="s">
        <v>67</v>
      </c>
      <c r="B18" s="141"/>
      <c r="C18" s="568"/>
      <c r="D18" s="142"/>
      <c r="E18" s="143"/>
      <c r="F18" s="196"/>
      <c r="G18" s="143"/>
      <c r="H18" s="143"/>
      <c r="I18" s="144"/>
      <c r="J18" s="144"/>
      <c r="K18" s="143"/>
      <c r="L18" s="144"/>
      <c r="M18" s="143"/>
      <c r="N18" s="143"/>
      <c r="O18" s="143"/>
      <c r="P18" s="143"/>
      <c r="Q18" s="143"/>
      <c r="R18" s="143"/>
      <c r="S18" s="485" t="s">
        <v>272</v>
      </c>
      <c r="T18" s="487" t="e">
        <f>MIN('DDR2 Clocks - 2L'!$R$5:$R$6)</f>
        <v>#REF!</v>
      </c>
      <c r="U18" s="484" t="e">
        <f>MAX('DDR2 Clocks - 2L'!$R$5:$R$6)</f>
        <v>#REF!</v>
      </c>
      <c r="V18" s="487"/>
      <c r="W18" s="145"/>
      <c r="X18" s="488"/>
      <c r="Y18" s="488"/>
      <c r="Z18" s="483"/>
      <c r="AA18" s="483"/>
      <c r="AB18" s="483"/>
      <c r="AC18" s="483"/>
      <c r="AD18" s="483"/>
      <c r="AE18" s="483"/>
      <c r="AF18" s="483"/>
      <c r="AG18" s="483"/>
      <c r="AH18" s="483"/>
      <c r="AI18" s="484"/>
    </row>
    <row r="19" spans="1:38" s="4" customFormat="1" ht="11.25" x14ac:dyDescent="0.2">
      <c r="A19" s="134" t="s">
        <v>425</v>
      </c>
      <c r="B19" s="134"/>
      <c r="C19" s="566"/>
      <c r="D19" s="155"/>
      <c r="E19" s="156"/>
      <c r="F19" s="198"/>
      <c r="G19" s="156"/>
      <c r="H19" s="156"/>
      <c r="I19" s="157"/>
      <c r="J19" s="156"/>
      <c r="K19" s="157"/>
      <c r="L19" s="156"/>
      <c r="M19" s="157"/>
      <c r="N19" s="157"/>
      <c r="O19" s="157"/>
      <c r="P19" s="157"/>
      <c r="Q19" s="157"/>
      <c r="R19" s="157"/>
      <c r="S19" s="155"/>
      <c r="T19" s="155"/>
      <c r="U19" s="476"/>
      <c r="V19" s="476"/>
      <c r="W19" s="155"/>
      <c r="X19" s="385"/>
      <c r="Y19" s="155"/>
      <c r="Z19" s="155"/>
      <c r="AA19" s="155"/>
      <c r="AB19" s="155"/>
      <c r="AC19" s="155"/>
      <c r="AD19" s="155"/>
      <c r="AE19" s="155"/>
      <c r="AF19" s="155"/>
      <c r="AG19" s="155"/>
      <c r="AH19" s="155"/>
      <c r="AI19" s="478"/>
    </row>
    <row r="20" spans="1:38" s="4" customFormat="1" x14ac:dyDescent="0.2">
      <c r="A20" s="503" t="s">
        <v>73</v>
      </c>
      <c r="B20" s="434" t="s">
        <v>495</v>
      </c>
      <c r="C20" s="562">
        <v>466</v>
      </c>
      <c r="D20" s="164"/>
      <c r="E20" s="17">
        <v>22.63</v>
      </c>
      <c r="F20" s="165">
        <v>0</v>
      </c>
      <c r="G20">
        <v>2620.0700000000002</v>
      </c>
      <c r="H20" s="212"/>
      <c r="I20" s="165">
        <v>0</v>
      </c>
      <c r="J20" s="212"/>
      <c r="K20" s="551">
        <v>53.71</v>
      </c>
      <c r="L20" s="168"/>
      <c r="M20" s="551">
        <v>961.92</v>
      </c>
      <c r="N20">
        <v>723.91</v>
      </c>
      <c r="O20" s="271"/>
      <c r="P20">
        <v>640.04</v>
      </c>
      <c r="Q20" s="551">
        <v>55.74</v>
      </c>
      <c r="R20" s="490">
        <f>SUM($E20:$G20,$M20,$N20,$P20,$Q20)</f>
        <v>5024.3100000000004</v>
      </c>
      <c r="S20" s="469" t="e">
        <f>$R20+IF($B$2="mil",1,0.0254)*$C20</f>
        <v>#REF!</v>
      </c>
      <c r="T20" s="469" t="e">
        <f>$U$18 + IF($B$2="mil",1,0.0254)*DDR2Specs!$E$6</f>
        <v>#REF!</v>
      </c>
      <c r="U20" s="523" t="e">
        <f>$T$18 + IF($B$2="mil",1,0.0254)*DDR2Specs!$F$6</f>
        <v>#REF!</v>
      </c>
      <c r="V20" s="491" t="e">
        <f>IF($S20&lt;$T20,$T20-$S20,"Pass")</f>
        <v>#REF!</v>
      </c>
      <c r="W20" s="492" t="e">
        <f>IF($S20&gt;$U20,$S20-$U20,"Pass")</f>
        <v>#REF!</v>
      </c>
      <c r="X20" s="472" t="e">
        <f>IF($E20&lt;=IF($B$2="mil",1,0.0254)*50,"Pass",IF($B$2="mil",1,0.0254)*50-$E20)</f>
        <v>#REF!</v>
      </c>
      <c r="Y20" s="473" t="e">
        <f>IF($F20&lt;=IF($B$2="mil",1,0.0254)*500,"Pass",IF($B$2="mil",1,0.0254)*500-$F20)</f>
        <v>#REF!</v>
      </c>
      <c r="Z20" s="473" t="e">
        <f>IF($I20&lt;=IF($B$2="mil",1,0.0254)*1000,"Pass",IF($B$2="mil",1,0.0254)*1000-$I20)</f>
        <v>#REF!</v>
      </c>
      <c r="AA20" s="473" t="e">
        <f ca="1">CheckLength2(IF($B$2="mil",1,0.0254)*1200,I20,K20,0)</f>
        <v>#NAME?</v>
      </c>
      <c r="AB20" s="473" t="e">
        <f>IF(M20&lt;=IF($B$2="mil",1,0.0254)*1500,"Pass",IF($B$2="mil",1,0.0254)*1500-M20)</f>
        <v>#REF!</v>
      </c>
      <c r="AC20" s="473" t="e">
        <f>IF(N20&lt;=IF($B$2="mil",1,0.0254)*1000,"Pass",IF($B$2="mil",1,0.0254)*1000-N20)</f>
        <v>#REF!</v>
      </c>
      <c r="AD20" s="473" t="e">
        <f>IF(MAX(N20,P44)-MIN(N20,P44)&lt;=IF($B$2="mil",1,0.0254)*50,"Pass",MAX(N20,P44)-MIN(N20,P44)-IF($B$2="mil",1,0.0254)*50)</f>
        <v>#REF!</v>
      </c>
      <c r="AE20" s="473" t="e">
        <f>IF(P20&lt;=IF($B$2="mil",1,0.0254)*1250,"Pass",IF($B$2="mil",1,0.0254)*1250-P20)</f>
        <v>#REF!</v>
      </c>
      <c r="AF20" s="473" t="e">
        <f>IF(MAX(P20,P56)-MIN(P20,P56)&lt;=IF($B$2="mil",1,0.0254)*50,"Pass",MAX(P20,P56)-MIN(P20,P56)-IF($B$2="mil",1,0.0254)*50)</f>
        <v>#REF!</v>
      </c>
      <c r="AG20" s="473" t="e">
        <f ca="1">CheckLength2(IF($B$2="mil",1,0.0254)*1450,P20,Q20,0)</f>
        <v>#NAME?</v>
      </c>
      <c r="AH20" s="473" t="e">
        <f>IF(AND($R20&gt;=IF($B$2="mil",1,0.0254)*500, $R20&lt;=IF($B$2="mil",1,0.0254)*6500),"Pass",IF($B$2="mil",1,0.0254)*6500-$R20)</f>
        <v>#REF!</v>
      </c>
      <c r="AI20" s="474" t="e">
        <f>IF(AND($S20&gt;=IF($B$2="mil",1,0.0254)*500, $S20&lt;=IF($B$2="mil",1,0.0254)*7000),"Pass",IF($B$2="mil",1,0.0254)*7000-$S20)</f>
        <v>#REF!</v>
      </c>
      <c r="AJ20" s="4" t="e">
        <f ca="1">IF(AND(V20="Pass",W20="Pass",X20="Pass",Y20="Pass",Z20="Pass",AA20="Pass",AB20="Pass",AC20="Pass",AD20="Pass",AE20="Pass",AF20="Pass",AG20="Pass",AH20="Pass",AI20="Pass"),"Pass","Fail")</f>
        <v>#REF!</v>
      </c>
      <c r="AK20" s="4" t="e">
        <f ca="1">IF(AND(AJ20="Pass",AJ21="Pass",AJ22="Pass",AJ32="Pass",AJ33="Pass",AJ34="Pass",AJ44="Pass",AJ45="Pass",AJ46="Pass",AJ56="Pass",AJ57="Pass",AJ58="Pass"),"Pass","Fail")</f>
        <v>#REF!</v>
      </c>
    </row>
    <row r="21" spans="1:38" s="4" customFormat="1" x14ac:dyDescent="0.2">
      <c r="A21" s="503" t="s">
        <v>75</v>
      </c>
      <c r="B21" s="573" t="s">
        <v>365</v>
      </c>
      <c r="C21" s="562">
        <v>380</v>
      </c>
      <c r="D21" s="164"/>
      <c r="E21" s="17">
        <v>22.63</v>
      </c>
      <c r="F21" s="165">
        <v>0</v>
      </c>
      <c r="G21">
        <v>2617.5700000000002</v>
      </c>
      <c r="H21" s="212"/>
      <c r="I21" s="165">
        <v>0</v>
      </c>
      <c r="J21" s="212"/>
      <c r="K21">
        <v>86.64</v>
      </c>
      <c r="L21" s="168"/>
      <c r="M21" s="551">
        <v>938.57</v>
      </c>
      <c r="N21">
        <v>720.4</v>
      </c>
      <c r="O21" s="271"/>
      <c r="P21">
        <v>710.96</v>
      </c>
      <c r="Q21" s="551">
        <v>120.83</v>
      </c>
      <c r="R21" s="490">
        <f>SUM($E21:$G21,$M21,$N21,$P21,$Q21)</f>
        <v>5130.96</v>
      </c>
      <c r="S21" s="469" t="e">
        <f>$R21+IF($B$2="mil",1,0.0254)*$C21</f>
        <v>#REF!</v>
      </c>
      <c r="T21" s="469" t="e">
        <f>$U$18 + IF($B$2="mil",1,0.0254)*DDR2Specs!$E$6</f>
        <v>#REF!</v>
      </c>
      <c r="U21" s="523" t="e">
        <f>$T$18 + IF($B$2="mil",1,0.0254)*DDR2Specs!$F$6</f>
        <v>#REF!</v>
      </c>
      <c r="V21" s="491" t="e">
        <f>IF($S21&lt;$T21,$T21-$S21,"Pass")</f>
        <v>#REF!</v>
      </c>
      <c r="W21" s="492" t="e">
        <f>IF($S21&gt;$U21,$S21-$U21,"Pass")</f>
        <v>#REF!</v>
      </c>
      <c r="X21" s="472" t="e">
        <f>IF($E21&lt;=IF($B$2="mil",1,0.0254)*50,"Pass",IF($B$2="mil",1,0.0254)*50-$E21)</f>
        <v>#REF!</v>
      </c>
      <c r="Y21" s="473" t="e">
        <f>IF($F21&lt;=IF($B$2="mil",1,0.0254)*500,"Pass",IF($B$2="mil",1,0.0254)*500-$F21)</f>
        <v>#REF!</v>
      </c>
      <c r="Z21" s="473" t="e">
        <f>IF($I21&lt;=IF($B$2="mil",1,0.0254)*1000,"Pass",IF($B$2="mil",1,0.0254)*1000-$I21)</f>
        <v>#REF!</v>
      </c>
      <c r="AA21" s="473" t="e">
        <f ca="1">CheckLength2(IF($B$2="mil",1,0.0254)*1200,I21,K21,0)</f>
        <v>#NAME?</v>
      </c>
      <c r="AB21" s="473" t="e">
        <f>IF(M21&lt;=IF($B$2="mil",1,0.0254)*1500,"Pass",IF($B$2="mil",1,0.0254)*1500-M21)</f>
        <v>#REF!</v>
      </c>
      <c r="AC21" s="473" t="e">
        <f>IF(N21&lt;=IF($B$2="mil",1,0.0254)*1000,"Pass",IF($B$2="mil",1,0.0254)*1000-N21)</f>
        <v>#REF!</v>
      </c>
      <c r="AD21" s="473" t="e">
        <f>IF(MAX(N21,P45)-MIN(N21,P45)&lt;=IF($B$2="mil",1,0.0254)*50,"Pass",MAX(N21,P45)-MIN(N21,P45)-IF($B$2="mil",1,0.0254)*50)</f>
        <v>#REF!</v>
      </c>
      <c r="AE21" s="473" t="e">
        <f>IF(P21&lt;=IF($B$2="mil",1,0.0254)*1250,"Pass",IF($B$2="mil",1,0.0254)*1250-P21)</f>
        <v>#REF!</v>
      </c>
      <c r="AF21" s="473" t="e">
        <f>IF(MAX(P21,P57)-MIN(P21,P57)&lt;=IF($B$2="mil",1,0.0254)*50,"Pass",MAX(P21,P57)-MIN(P21,P57)-IF($B$2="mil",1,0.0254)*50)</f>
        <v>#REF!</v>
      </c>
      <c r="AG21" s="473" t="e">
        <f ca="1">CheckLength2(IF($B$2="mil",1,0.0254)*1450,P21,Q21,0)</f>
        <v>#NAME?</v>
      </c>
      <c r="AH21" s="473" t="e">
        <f>IF(AND($R21&gt;=IF($B$2="mil",1,0.0254)*500, $R21&lt;=IF($B$2="mil",1,0.0254)*6500),"Pass",IF($B$2="mil",1,0.0254)*6500-$R21)</f>
        <v>#REF!</v>
      </c>
      <c r="AI21" s="474" t="e">
        <f>IF(AND($S21&gt;=IF($B$2="mil",1,0.0254)*500, $S21&lt;=IF($B$2="mil",1,0.0254)*7000),"Pass",IF($B$2="mil",1,0.0254)*7000-$S21)</f>
        <v>#REF!</v>
      </c>
      <c r="AJ21" s="4" t="e">
        <f ca="1">IF(AND(V21="Pass",W21="Pass",X21="Pass",Y21="Pass",Z21="Pass",AA21="Pass",AB21="Pass",AC21="Pass",AD21="Pass",AE21="Pass",AF21="Pass",AG21="Pass",AH21="Pass",AI21="Pass"),"Pass","Fail")</f>
        <v>#REF!</v>
      </c>
      <c r="AK21" s="4" t="e">
        <f ca="1">IF(AND(AJ26="Pass",AJ27="Pass",AJ28="Pass",AJ38="Pass",AJ39="Pass",AJ40="Pass",AJ50="Pass",AJ51="Pass",AJ52="Pass",AJ62="Pass",AJ63="Pass",AJ64="Pass"),"Pass","Fail")</f>
        <v>#REF!</v>
      </c>
    </row>
    <row r="22" spans="1:38" s="4" customFormat="1" x14ac:dyDescent="0.2">
      <c r="A22" s="503" t="s">
        <v>77</v>
      </c>
      <c r="B22" s="573" t="s">
        <v>349</v>
      </c>
      <c r="C22" s="562">
        <v>426</v>
      </c>
      <c r="D22" s="164"/>
      <c r="E22" s="17">
        <v>22.63</v>
      </c>
      <c r="F22" s="165">
        <v>0</v>
      </c>
      <c r="G22">
        <v>2628.9</v>
      </c>
      <c r="H22" s="212"/>
      <c r="I22" s="165">
        <v>0</v>
      </c>
      <c r="J22" s="212"/>
      <c r="K22">
        <v>90.78</v>
      </c>
      <c r="L22" s="168"/>
      <c r="M22" s="551">
        <v>865.59</v>
      </c>
      <c r="N22">
        <v>742.29</v>
      </c>
      <c r="O22" s="271"/>
      <c r="P22">
        <v>681.47</v>
      </c>
      <c r="Q22" s="551">
        <v>52.48</v>
      </c>
      <c r="R22" s="490">
        <f>SUM($E22:$G22,$M22,$N22,$P22,$Q22)</f>
        <v>4993.3599999999997</v>
      </c>
      <c r="S22" s="469" t="e">
        <f>$R22+IF($B$2="mil",1,0.0254)*$C22</f>
        <v>#REF!</v>
      </c>
      <c r="T22" s="469" t="e">
        <f>$U$18 + IF($B$2="mil",1,0.0254)*DDR2Specs!$E$6</f>
        <v>#REF!</v>
      </c>
      <c r="U22" s="523" t="e">
        <f>$T$18 + IF($B$2="mil",1,0.0254)*DDR2Specs!$F$6</f>
        <v>#REF!</v>
      </c>
      <c r="V22" s="491" t="e">
        <f>IF($S22&lt;$T22,$T22-$S22,"Pass")</f>
        <v>#REF!</v>
      </c>
      <c r="W22" s="492" t="e">
        <f>IF($S22&gt;$U22,$S22-$U22,"Pass")</f>
        <v>#REF!</v>
      </c>
      <c r="X22" s="472" t="e">
        <f>IF($E22&lt;=IF($B$2="mil",1,0.0254)*50,"Pass",IF($B$2="mil",1,0.0254)*50-$E22)</f>
        <v>#REF!</v>
      </c>
      <c r="Y22" s="473" t="e">
        <f>IF($F22&lt;=IF($B$2="mil",1,0.0254)*500,"Pass",IF($B$2="mil",1,0.0254)*500-$F22)</f>
        <v>#REF!</v>
      </c>
      <c r="Z22" s="473" t="e">
        <f>IF($I22&lt;=IF($B$2="mil",1,0.0254)*1000,"Pass",IF($B$2="mil",1,0.0254)*1000-$I22)</f>
        <v>#REF!</v>
      </c>
      <c r="AA22" s="473" t="e">
        <f ca="1">CheckLength2(IF($B$2="mil",1,0.0254)*1200,I22,K22,0)</f>
        <v>#NAME?</v>
      </c>
      <c r="AB22" s="473" t="e">
        <f>IF(M22&lt;=IF($B$2="mil",1,0.0254)*1500,"Pass",IF($B$2="mil",1,0.0254)*1500-M22)</f>
        <v>#REF!</v>
      </c>
      <c r="AC22" s="473" t="e">
        <f>IF(N22&lt;=IF($B$2="mil",1,0.0254)*1000,"Pass",IF($B$2="mil",1,0.0254)*1000-N22)</f>
        <v>#REF!</v>
      </c>
      <c r="AD22" s="473" t="e">
        <f>IF(MAX(N22,P46)-MIN(N22,P46)&lt;=IF($B$2="mil",1,0.0254)*50,"Pass",MAX(N22,P46)-MIN(N22,P46)-IF($B$2="mil",1,0.0254)*50)</f>
        <v>#REF!</v>
      </c>
      <c r="AE22" s="473" t="e">
        <f>IF(P22&lt;=IF($B$2="mil",1,0.0254)*1250,"Pass",IF($B$2="mil",1,0.0254)*1250-P22)</f>
        <v>#REF!</v>
      </c>
      <c r="AF22" s="473" t="e">
        <f>IF(MAX(P22,P58)-MIN(P22,P58)&lt;=IF($B$2="mil",1,0.0254)*50,"Pass",MAX(P22,P58)-MIN(P22,P58)-IF($B$2="mil",1,0.0254)*50)</f>
        <v>#REF!</v>
      </c>
      <c r="AG22" s="473" t="e">
        <f ca="1">CheckLength2(IF($B$2="mil",1,0.0254)*1450,P22,Q22,0)</f>
        <v>#NAME?</v>
      </c>
      <c r="AH22" s="473" t="e">
        <f>IF(AND($R22&gt;=IF($B$2="mil",1,0.0254)*500, $R22&lt;=IF($B$2="mil",1,0.0254)*6500),"Pass",IF($B$2="mil",1,0.0254)*6500-$R22)</f>
        <v>#REF!</v>
      </c>
      <c r="AI22" s="474" t="e">
        <f>IF(AND($S22&gt;=IF($B$2="mil",1,0.0254)*500, $S22&lt;=IF($B$2="mil",1,0.0254)*7000),"Pass",IF($B$2="mil",1,0.0254)*7000-$S22)</f>
        <v>#REF!</v>
      </c>
      <c r="AJ22" s="4" t="e">
        <f ca="1">IF(AND(V22="Pass",W22="Pass",X22="Pass",Y22="Pass",Z22="Pass",AA22="Pass",AB22="Pass",AC22="Pass",AD22="Pass",AE22="Pass",AF22="Pass",AG22="Pass",AH22="Pass",AI22="Pass"),"Pass","Fail")</f>
        <v>#REF!</v>
      </c>
    </row>
    <row r="23" spans="1:38" s="133" customFormat="1" ht="22.5" x14ac:dyDescent="0.2">
      <c r="A23" s="495" t="s">
        <v>494</v>
      </c>
      <c r="B23" s="495" t="s">
        <v>457</v>
      </c>
      <c r="C23" s="572" t="s">
        <v>70</v>
      </c>
      <c r="D23" s="130"/>
      <c r="E23" s="127" t="e">
        <f>"Escape
Length L0
 ["&amp;$B$2&amp;"]"</f>
        <v>#REF!</v>
      </c>
      <c r="F23" s="127" t="e">
        <f>"Breakout
Length L1
["&amp; $B$2&amp;"]"</f>
        <v>#REF!</v>
      </c>
      <c r="G23" s="127" t="e">
        <f>"Main
Length L2
[" &amp;$B$2&amp; " ]"</f>
        <v>#REF!</v>
      </c>
      <c r="H23" s="127"/>
      <c r="I23" s="130" t="e">
        <f>"Via-to-via (SODIMM-to-Rt) L3 [" &amp;$B$2&amp;"]"</f>
        <v>#REF!</v>
      </c>
      <c r="J23" s="129"/>
      <c r="K23" s="130" t="e">
        <f>"Via-to-Rt 
L4 [" &amp;$B$2&amp;"]"</f>
        <v>#REF!</v>
      </c>
      <c r="L23" s="129"/>
      <c r="M23" s="123" t="e">
        <f>"Trace L5 ["&amp;$B$2&amp;"]"</f>
        <v>#REF!</v>
      </c>
      <c r="N23" s="123" t="e">
        <f>"Trace L6-1 ["&amp;$B$2&amp;"]"</f>
        <v>#REF!</v>
      </c>
      <c r="O23" s="123"/>
      <c r="P23" s="123" t="e">
        <f>"Trace L7-1 ["&amp;$B$2&amp;"]"</f>
        <v>#REF!</v>
      </c>
      <c r="Q23" s="123" t="e">
        <f>"Trace L8-1 ["&amp;$B$2&amp;"]"</f>
        <v>#REF!</v>
      </c>
      <c r="R23" s="495" t="e">
        <f>"Total MB Length to U5 (L0+L1+L2+L5+L6-1+L7-1+L8-1) ["&amp;$B$2&amp;"]"</f>
        <v>#REF!</v>
      </c>
      <c r="S23" s="495" t="e">
        <f>"Total Pad to Pin U5 (P1+L0+L1+L2+L5+L6-1+L7-1+L8-1) ["&amp;$B$2&amp;"]"</f>
        <v>#REF!</v>
      </c>
      <c r="T23" s="497" t="e">
        <f>"Target Min Length to U5
["&amp;$B$2&amp;"]"</f>
        <v>#REF!</v>
      </c>
      <c r="U23" s="497" t="e">
        <f>"Target Max Length  to U5 
["&amp;$B$2&amp;"]"</f>
        <v>#REF!</v>
      </c>
      <c r="V23" s="524" t="e">
        <f>"Routed Too Short  to U5 [" &amp;$B$2&amp;"]"</f>
        <v>#REF!</v>
      </c>
      <c r="W23" s="497" t="e">
        <f>"Routed Too Long  to U5 [" &amp;$B$2&amp;"]"</f>
        <v>#REF!</v>
      </c>
      <c r="X23" s="500" t="e">
        <f>"L0 Length Test (&lt;=" &amp; IF($B$2="mil",1,0.0254)*50&amp;$B$2&amp;")"</f>
        <v>#REF!</v>
      </c>
      <c r="Y23" s="500" t="e">
        <f>"L1 Length Test (&lt;=" &amp; IF($B$2="mil",1,0.0254)*500&amp;$B$2&amp;")"</f>
        <v>#REF!</v>
      </c>
      <c r="Z23" s="500" t="e">
        <f>"L3 Length Test (&lt;=" &amp; IF($B$2="mil",1,0.0254)*1000&amp;$B$2&amp;")"</f>
        <v>#REF!</v>
      </c>
      <c r="AA23" s="500" t="e">
        <f>"L4 Length Test (&lt;=" &amp; IF($B$2="mil",1,0.0254)*200&amp;$B$2&amp;") or (L3+L4&lt;= "&amp;IF($B$2="mil",1,0.0254)*1200&amp;$B$2&amp;")"</f>
        <v>#REF!</v>
      </c>
      <c r="AB23" s="500" t="e">
        <f>"L5 Length Test (&lt;=" &amp; IF($B$2="mil",1,0.0254)*1500&amp;$B$2&amp;")"</f>
        <v>#REF!</v>
      </c>
      <c r="AC23" s="500" t="e">
        <f>"L6-1 Length Test (&lt;=" &amp; IF($B$2="mil",1,0.0254)*1000&amp;$B$2&amp;")"</f>
        <v>#REF!</v>
      </c>
      <c r="AD23" s="500" t="e">
        <f>"Diff L6-1 &amp; L6-2 (&lt;="&amp;IF($B$2="mil",1,0.0254)*50&amp;$B$2&amp;")"</f>
        <v>#REF!</v>
      </c>
      <c r="AE23" s="500" t="e">
        <f>"L7-1 Length Test (&lt;=" &amp; IF($B$2="mil",1,0.0254)*1250&amp;$B$2&amp;")"</f>
        <v>#REF!</v>
      </c>
      <c r="AF23" s="500" t="e">
        <f>"Diff L7-1 &amp; L7-2 (&lt;="&amp;IF($B$2="mil",1,0.0254)*50&amp;$B$2&amp;")"</f>
        <v>#REF!</v>
      </c>
      <c r="AG23" s="500" t="e">
        <f>"L8-1 Length Test (&lt;=" &amp; IF($B$2="mil",1,0.0254)*200&amp;$B$2&amp;") or (L7-1+L8-1&lt;= "&amp;IF($B$2="mil",1,0.0254)*1450&amp;$B$2&amp;")"</f>
        <v>#REF!</v>
      </c>
      <c r="AH23" s="497" t="e">
        <f>"Total Length to U5 (L0+L1+L2+L5+L6-1+L7-1+L8-1) Test
 ("&amp;IF($B$2="mil",1,0.0254)*500&amp;"-"&amp;IF($B$2="mil",1,0.0254)*6500&amp;IF($B$2="mil","mil","mm")&amp;")"</f>
        <v>#REF!</v>
      </c>
      <c r="AI23" s="497" t="e">
        <f>"Total Length to U5 (P1+L0+L1+L2+L5+L6-1+L7-1+L8-1) Test
 (&lt;="&amp;IF($B$2="mil",1,25.4)*7000&amp;IF($B$2="mil","mil","mm")&amp;")"</f>
        <v>#REF!</v>
      </c>
      <c r="AJ23" s="4"/>
    </row>
    <row r="24" spans="1:38" s="4" customFormat="1" ht="11.25" x14ac:dyDescent="0.2">
      <c r="A24" s="140" t="s">
        <v>67</v>
      </c>
      <c r="B24" s="141"/>
      <c r="C24" s="568"/>
      <c r="D24" s="142"/>
      <c r="E24" s="143"/>
      <c r="F24" s="196"/>
      <c r="G24" s="143"/>
      <c r="H24" s="143"/>
      <c r="I24" s="144"/>
      <c r="J24" s="144"/>
      <c r="K24" s="143"/>
      <c r="L24" s="144"/>
      <c r="M24" s="143"/>
      <c r="N24" s="143"/>
      <c r="O24" s="143"/>
      <c r="P24" s="143"/>
      <c r="Q24" s="143"/>
      <c r="R24" s="345"/>
      <c r="S24" s="485" t="s">
        <v>332</v>
      </c>
      <c r="T24" s="487" t="e">
        <f>MIN('DDR2 Clocks - 4L'!$O$7:$O$8)</f>
        <v>#REF!</v>
      </c>
      <c r="U24" s="486" t="e">
        <f>MAX('DDR2 Clocks - 4L'!$O$7:$O$8)</f>
        <v>#REF!</v>
      </c>
      <c r="V24" s="487"/>
      <c r="W24" s="145"/>
      <c r="X24" s="488"/>
      <c r="Y24" s="488"/>
      <c r="Z24" s="483"/>
      <c r="AA24" s="483"/>
      <c r="AB24" s="483"/>
      <c r="AC24" s="483"/>
      <c r="AD24" s="483"/>
      <c r="AE24" s="483"/>
      <c r="AF24" s="483"/>
      <c r="AG24" s="483"/>
      <c r="AH24" s="483"/>
      <c r="AI24" s="484"/>
    </row>
    <row r="25" spans="1:38" s="4" customFormat="1" ht="11.25" x14ac:dyDescent="0.2">
      <c r="A25" s="134" t="s">
        <v>426</v>
      </c>
      <c r="B25" s="134"/>
      <c r="C25" s="566"/>
      <c r="D25" s="155"/>
      <c r="E25" s="156"/>
      <c r="F25" s="198"/>
      <c r="G25" s="156"/>
      <c r="H25" s="156"/>
      <c r="I25" s="157"/>
      <c r="J25" s="156"/>
      <c r="K25" s="157"/>
      <c r="L25" s="156"/>
      <c r="M25" s="157"/>
      <c r="N25" s="157"/>
      <c r="O25" s="157"/>
      <c r="P25" s="157"/>
      <c r="Q25" s="157"/>
      <c r="R25" s="157"/>
      <c r="S25" s="155"/>
      <c r="T25" s="155"/>
      <c r="U25" s="476"/>
      <c r="V25" s="476"/>
      <c r="W25" s="155"/>
      <c r="X25" s="385"/>
      <c r="Y25" s="155"/>
      <c r="Z25" s="155"/>
      <c r="AA25" s="155"/>
      <c r="AB25" s="155"/>
      <c r="AC25" s="155"/>
      <c r="AD25" s="155"/>
      <c r="AE25" s="155"/>
      <c r="AF25" s="155"/>
      <c r="AG25" s="155"/>
      <c r="AH25" s="155"/>
      <c r="AI25" s="478"/>
    </row>
    <row r="26" spans="1:38" s="4" customFormat="1" x14ac:dyDescent="0.2">
      <c r="A26" s="503" t="s">
        <v>74</v>
      </c>
      <c r="B26" s="434" t="s">
        <v>496</v>
      </c>
      <c r="C26" s="562">
        <v>526.57480314960628</v>
      </c>
      <c r="D26" s="178"/>
      <c r="E26" s="17">
        <v>22.63</v>
      </c>
      <c r="F26" s="165">
        <v>0</v>
      </c>
      <c r="G26">
        <v>2728.3</v>
      </c>
      <c r="H26" s="212"/>
      <c r="I26" s="165">
        <v>0</v>
      </c>
      <c r="J26" s="212"/>
      <c r="K26" s="551">
        <v>36.64</v>
      </c>
      <c r="L26" s="168"/>
      <c r="M26" s="551">
        <v>955.85</v>
      </c>
      <c r="N26">
        <v>477.35</v>
      </c>
      <c r="O26" s="271"/>
      <c r="P26">
        <v>682.78</v>
      </c>
      <c r="Q26" s="551">
        <v>54.75</v>
      </c>
      <c r="R26" s="490">
        <f>SUM($E26:$G26,$M26,$N26,$P26,$Q26)</f>
        <v>4921.66</v>
      </c>
      <c r="S26" s="469" t="e">
        <f>$R26+IF($B$2="mil",1,0.0254)*$C26</f>
        <v>#REF!</v>
      </c>
      <c r="T26" s="469" t="e">
        <f>$U$24 + IF($B$2="mil",1,0.0254)*DDR2Specs!$E$6</f>
        <v>#REF!</v>
      </c>
      <c r="U26" s="523" t="e">
        <f>$T$24 + IF($B$2="mil",1,0.0254)*DDR2Specs!$F$6</f>
        <v>#REF!</v>
      </c>
      <c r="V26" s="491" t="e">
        <f>IF($S26&lt;$T26,$T26-$S26,"Pass")</f>
        <v>#REF!</v>
      </c>
      <c r="W26" s="492" t="e">
        <f>IF($S26&gt;$U26,$S26-$U26,"Pass")</f>
        <v>#REF!</v>
      </c>
      <c r="X26" s="472" t="e">
        <f>IF($E26&lt;=IF($B$2="mil",1,0.0254)*50,"Pass",IF($B$2="mil",1,0.0254)*50-$E26)</f>
        <v>#REF!</v>
      </c>
      <c r="Y26" s="473" t="e">
        <f>IF($F26&lt;=IF($B$2="mil",1,0.0254)*500,"Pass",IF($B$2="mil",1,0.0254)*500-$F26)</f>
        <v>#REF!</v>
      </c>
      <c r="Z26" s="473" t="e">
        <f>IF($I26&lt;=IF($B$2="mil",1,0.0254)*1000,"Pass",IF($B$2="mil",1,0.0254)*1000-$I26)</f>
        <v>#REF!</v>
      </c>
      <c r="AA26" s="473" t="e">
        <f ca="1">CheckLength2(IF($B$2="mil",1,0.0254)*1200,I26,K26,0)</f>
        <v>#NAME?</v>
      </c>
      <c r="AB26" s="473" t="e">
        <f>IF(M26&lt;=IF($B$2="mil",1,0.0254)*1500,"Pass",IF($B$2="mil",1,0.0254)*1500-M26)</f>
        <v>#REF!</v>
      </c>
      <c r="AC26" s="473" t="e">
        <f>IF(N26&lt;=IF($B$2="mil",1,0.0254)*1000,"Pass",IF($B$2="mil",1,0.0254)*1000-N26)</f>
        <v>#REF!</v>
      </c>
      <c r="AD26" s="473" t="e">
        <f>IF(MAX(N26,P50)-MIN(N26,P50)&lt;=IF($B$2="mil",1,0.0254)*50,"Pass",MAX(N26,P50)-MIN(N26,P50)-IF($B$2="mil",1,0.0254)*50)</f>
        <v>#REF!</v>
      </c>
      <c r="AE26" s="473" t="e">
        <f>IF(P26&lt;=IF($B$2="mil",1,0.0254)*1250,"Pass",IF($B$2="mil",1,0.0254)*1250-P26)</f>
        <v>#REF!</v>
      </c>
      <c r="AF26" s="473" t="e">
        <f>IF(MAX(P26,P62)-MIN(P26,P62)&lt;=IF($B$2="mil",1,0.0254)*50,"Pass",MAX(P26,P62)-MIN(P26,P62)-IF($B$2="mil",1,0.0254)*50)</f>
        <v>#REF!</v>
      </c>
      <c r="AG26" s="473" t="e">
        <f ca="1">CheckLength2(IF($B$2="mil",1,0.0254)*1450,P26,Q26,0)</f>
        <v>#NAME?</v>
      </c>
      <c r="AH26" s="473" t="e">
        <f>IF(AND($R26&gt;=IF($B$2="mil",1,0.0254)*500, $R26&lt;=IF($B$2="mil",1,0.0254)*6500),"Pass",IF($B$2="mil",1,0.0254)*6500-$R26)</f>
        <v>#REF!</v>
      </c>
      <c r="AI26" s="474" t="e">
        <f>IF(AND($S26&gt;=IF($B$2="mil",1,0.0254)*500, $S26&lt;=IF($B$2="mil",1,0.0254)*7000),"Pass",IF($B$2="mil",1,0.0254)*7000-$S26)</f>
        <v>#REF!</v>
      </c>
      <c r="AJ26" s="4" t="e">
        <f ca="1">IF(AND(V26="Pass",W26="Pass",X26="Pass",Y26="Pass",Z26="Pass",AA26="Pass",AB26="Pass",AC26="Pass",AD26="Pass",AE26="Pass",AF26="Pass",AG26="Pass",AH26="Pass",AI26="Pass"),"Pass","Fail")</f>
        <v>#REF!</v>
      </c>
    </row>
    <row r="27" spans="1:38" s="4" customFormat="1" x14ac:dyDescent="0.2">
      <c r="A27" s="503" t="s">
        <v>76</v>
      </c>
      <c r="B27" s="573" t="s">
        <v>382</v>
      </c>
      <c r="C27" s="562">
        <v>400</v>
      </c>
      <c r="D27" s="190"/>
      <c r="E27" s="17">
        <v>22.63</v>
      </c>
      <c r="F27" s="165">
        <v>0</v>
      </c>
      <c r="G27">
        <v>2817.98</v>
      </c>
      <c r="H27" s="212"/>
      <c r="I27" s="165">
        <v>0</v>
      </c>
      <c r="J27" s="212"/>
      <c r="K27">
        <v>36.64</v>
      </c>
      <c r="L27" s="168"/>
      <c r="M27" s="551">
        <v>834.08</v>
      </c>
      <c r="N27">
        <v>527.44000000000005</v>
      </c>
      <c r="O27" s="271"/>
      <c r="P27">
        <v>634.41999999999996</v>
      </c>
      <c r="Q27" s="551">
        <v>123.33</v>
      </c>
      <c r="R27" s="490">
        <f>SUM($E27:$G27,$M27,$N27,$P27,$Q27)</f>
        <v>4959.88</v>
      </c>
      <c r="S27" s="469" t="e">
        <f>$R27+IF($B$2="mil",1,0.0254)*$C27</f>
        <v>#REF!</v>
      </c>
      <c r="T27" s="469" t="e">
        <f>$U$24 + IF($B$2="mil",1,0.0254)*DDR2Specs!$E$6</f>
        <v>#REF!</v>
      </c>
      <c r="U27" s="523" t="e">
        <f>$T$24 + IF($B$2="mil",1,0.0254)*DDR2Specs!$F$6</f>
        <v>#REF!</v>
      </c>
      <c r="V27" s="491" t="e">
        <f>IF($S27&lt;$T27,$T27-$S27,"Pass")</f>
        <v>#REF!</v>
      </c>
      <c r="W27" s="492" t="e">
        <f>IF($S27&gt;$U27,$S27-$U27,"Pass")</f>
        <v>#REF!</v>
      </c>
      <c r="X27" s="472" t="e">
        <f>IF($E27&lt;=IF($B$2="mil",1,0.0254)*50,"Pass",IF($B$2="mil",1,0.0254)*50-$E27)</f>
        <v>#REF!</v>
      </c>
      <c r="Y27" s="473" t="e">
        <f>IF($F27&lt;=IF($B$2="mil",1,0.0254)*500,"Pass",IF($B$2="mil",1,0.0254)*500-$F27)</f>
        <v>#REF!</v>
      </c>
      <c r="Z27" s="473" t="e">
        <f>IF($I27&lt;=IF($B$2="mil",1,0.0254)*1000,"Pass",IF($B$2="mil",1,0.0254)*1000-$I27)</f>
        <v>#REF!</v>
      </c>
      <c r="AA27" s="473" t="e">
        <f ca="1">CheckLength2(IF($B$2="mil",1,0.0254)*1200,I27,K27,0)</f>
        <v>#NAME?</v>
      </c>
      <c r="AB27" s="473" t="e">
        <f>IF(M27&lt;=IF($B$2="mil",1,0.0254)*1500,"Pass",IF($B$2="mil",1,0.0254)*1500-M27)</f>
        <v>#REF!</v>
      </c>
      <c r="AC27" s="473" t="e">
        <f>IF(N27&lt;=IF($B$2="mil",1,0.0254)*1000,"Pass",IF($B$2="mil",1,0.0254)*1000-N27)</f>
        <v>#REF!</v>
      </c>
      <c r="AD27" s="473" t="e">
        <f>IF(MAX(N27,P51)-MIN(N27,P51)&lt;=IF($B$2="mil",1,0.0254)*50,"Pass",MAX(N27,P51)-MIN(N27,P51)-IF($B$2="mil",1,0.0254)*50)</f>
        <v>#REF!</v>
      </c>
      <c r="AE27" s="473" t="e">
        <f>IF(P27&lt;=IF($B$2="mil",1,0.0254)*1250,"Pass",IF($B$2="mil",1,0.0254)*1250-P27)</f>
        <v>#REF!</v>
      </c>
      <c r="AF27" s="473" t="e">
        <f>IF(MAX(P27,P63)-MIN(P27,P63)&lt;=IF($B$2="mil",1,0.0254)*50,"Pass",MAX(P27,P63)-MIN(P27,P63)-IF($B$2="mil",1,0.0254)*50)</f>
        <v>#REF!</v>
      </c>
      <c r="AG27" s="473" t="e">
        <f ca="1">CheckLength2(IF($B$2="mil",1,0.0254)*1450,P27,Q27,0)</f>
        <v>#NAME?</v>
      </c>
      <c r="AH27" s="473" t="e">
        <f>IF(AND($R27&gt;=IF($B$2="mil",1,0.0254)*500, $R27&lt;=IF($B$2="mil",1,0.0254)*6500),"Pass",IF($B$2="mil",1,0.0254)*6500-$R27)</f>
        <v>#REF!</v>
      </c>
      <c r="AI27" s="474" t="e">
        <f>IF(AND($S27&gt;=IF($B$2="mil",1,0.0254)*500, $S27&lt;=IF($B$2="mil",1,0.0254)*7000),"Pass",IF($B$2="mil",1,0.0254)*7000-$S27)</f>
        <v>#REF!</v>
      </c>
      <c r="AJ27" s="4" t="e">
        <f ca="1">IF(AND(V27="Pass",W27="Pass",X27="Pass",Y27="Pass",Z27="Pass",AA27="Pass",AB27="Pass",AC27="Pass",AD27="Pass",AE27="Pass",AF27="Pass",AG27="Pass",AH27="Pass",AI27="Pass"),"Pass","Fail")</f>
        <v>#REF!</v>
      </c>
    </row>
    <row r="28" spans="1:38" s="4" customFormat="1" x14ac:dyDescent="0.2">
      <c r="A28" s="503" t="s">
        <v>78</v>
      </c>
      <c r="B28" s="573" t="s">
        <v>369</v>
      </c>
      <c r="C28" s="562">
        <v>602.91338582677167</v>
      </c>
      <c r="D28" s="178"/>
      <c r="E28" s="17">
        <v>22.63</v>
      </c>
      <c r="F28" s="165">
        <v>0</v>
      </c>
      <c r="G28">
        <v>2625.35</v>
      </c>
      <c r="H28" s="212"/>
      <c r="I28" s="165">
        <v>0</v>
      </c>
      <c r="J28" s="212"/>
      <c r="K28">
        <v>32.5</v>
      </c>
      <c r="L28" s="168"/>
      <c r="M28" s="551">
        <v>907.66</v>
      </c>
      <c r="N28">
        <v>524.9</v>
      </c>
      <c r="O28" s="271"/>
      <c r="P28">
        <v>644.36</v>
      </c>
      <c r="Q28" s="551">
        <v>53.02</v>
      </c>
      <c r="R28" s="490">
        <f>SUM($E28:$G28,$M28,$N28,$P28,$Q28)</f>
        <v>4777.92</v>
      </c>
      <c r="S28" s="469" t="e">
        <f>$R28+IF($B$2="mil",1,0.0254)*$C28</f>
        <v>#REF!</v>
      </c>
      <c r="T28" s="469" t="e">
        <f>$U$24 + IF($B$2="mil",1,0.0254)*DDR2Specs!$E$6</f>
        <v>#REF!</v>
      </c>
      <c r="U28" s="523" t="e">
        <f>$T$24 + IF($B$2="mil",1,0.0254)*DDR2Specs!$F$6</f>
        <v>#REF!</v>
      </c>
      <c r="V28" s="491" t="e">
        <f>IF($S28&lt;$T28,$T28-$S28,"Pass")</f>
        <v>#REF!</v>
      </c>
      <c r="W28" s="492" t="e">
        <f>IF($S28&gt;$U28,$S28-$U28,"Pass")</f>
        <v>#REF!</v>
      </c>
      <c r="X28" s="472" t="e">
        <f>IF($E28&lt;=IF($B$2="mil",1,0.0254)*50,"Pass",IF($B$2="mil",1,0.0254)*50-$E28)</f>
        <v>#REF!</v>
      </c>
      <c r="Y28" s="473" t="e">
        <f>IF($F28&lt;=IF($B$2="mil",1,0.0254)*500,"Pass",IF($B$2="mil",1,0.0254)*500-$F28)</f>
        <v>#REF!</v>
      </c>
      <c r="Z28" s="473" t="e">
        <f>IF($I28&lt;=IF($B$2="mil",1,0.0254)*1000,"Pass",IF($B$2="mil",1,0.0254)*1000-$I28)</f>
        <v>#REF!</v>
      </c>
      <c r="AA28" s="473" t="e">
        <f ca="1">CheckLength2(IF($B$2="mil",1,0.0254)*1200,I28,K28,0)</f>
        <v>#NAME?</v>
      </c>
      <c r="AB28" s="473" t="e">
        <f>IF(M28&lt;=IF($B$2="mil",1,0.0254)*1500,"Pass",IF($B$2="mil",1,0.0254)*1500-M28)</f>
        <v>#REF!</v>
      </c>
      <c r="AC28" s="473" t="e">
        <f>IF(N28&lt;=IF($B$2="mil",1,0.0254)*1000,"Pass",IF($B$2="mil",1,0.0254)*1000-N28)</f>
        <v>#REF!</v>
      </c>
      <c r="AD28" s="473" t="e">
        <f>IF(MAX(N28,P52)-MIN(N28,P52)&lt;=IF($B$2="mil",1,0.0254)*50,"Pass",MAX(N28,P52)-MIN(N28,P52)-IF($B$2="mil",1,0.0254)*50)</f>
        <v>#REF!</v>
      </c>
      <c r="AE28" s="473" t="e">
        <f>IF(P28&lt;=IF($B$2="mil",1,0.0254)*1250,"Pass",IF($B$2="mil",1,0.0254)*1250-P28)</f>
        <v>#REF!</v>
      </c>
      <c r="AF28" s="473" t="e">
        <f>IF(MAX(P28,P64)-MIN(P28,P64)&lt;=IF($B$2="mil",1,0.0254)*50,"Pass",MAX(P28,P64)-MIN(P28,P64)-IF($B$2="mil",1,0.0254)*50)</f>
        <v>#REF!</v>
      </c>
      <c r="AG28" s="473" t="e">
        <f ca="1">CheckLength2(IF($B$2="mil",1,0.0254)*1450,P28,Q28,0)</f>
        <v>#NAME?</v>
      </c>
      <c r="AH28" s="473" t="e">
        <f>IF(AND($R28&gt;=IF($B$2="mil",1,0.0254)*500, $R28&lt;=IF($B$2="mil",1,0.0254)*6500),"Pass",IF($B$2="mil",1,0.0254)*6500-$R28)</f>
        <v>#REF!</v>
      </c>
      <c r="AI28" s="474" t="e">
        <f>IF(AND($S28&gt;=IF($B$2="mil",1,0.0254)*500, $S28&lt;=IF($B$2="mil",1,0.0254)*7000),"Pass",IF($B$2="mil",1,0.0254)*7000-$S28)</f>
        <v>#REF!</v>
      </c>
      <c r="AJ28" s="4" t="e">
        <f ca="1">IF(AND(V28="Pass",W28="Pass",X28="Pass",Y28="Pass",Z28="Pass",AA28="Pass",AB28="Pass",AC28="Pass",AD28="Pass",AE28="Pass",AF28="Pass",AG28="Pass",AH28="Pass",AI28="Pass"),"Pass","Fail")</f>
        <v>#REF!</v>
      </c>
    </row>
    <row r="29" spans="1:38" s="4" customFormat="1" ht="45" x14ac:dyDescent="0.2">
      <c r="A29" s="348"/>
      <c r="B29" s="348"/>
      <c r="C29" s="204"/>
      <c r="D29" s="351"/>
      <c r="F29" s="21"/>
      <c r="G29" s="352"/>
      <c r="H29" s="21"/>
      <c r="I29" s="21"/>
      <c r="J29" s="353"/>
      <c r="K29" s="21"/>
      <c r="L29" s="354"/>
      <c r="M29" s="342"/>
      <c r="N29" s="352"/>
      <c r="O29" s="352"/>
      <c r="P29" s="192" t="s">
        <v>494</v>
      </c>
      <c r="Q29" s="192" t="e">
        <f>"Trace L8-2 ["&amp;$B$2&amp;"]"</f>
        <v>#REF!</v>
      </c>
      <c r="R29" s="499" t="s">
        <v>441</v>
      </c>
      <c r="S29" s="499" t="s">
        <v>442</v>
      </c>
      <c r="T29" s="496" t="e">
        <f>"Target Min Length  to U2
["&amp;$B$2&amp;"]"</f>
        <v>#REF!</v>
      </c>
      <c r="U29" s="496" t="e">
        <f>"Target Max Length  to U2 
["&amp;$B$2&amp;"]"</f>
        <v>#REF!</v>
      </c>
      <c r="V29" s="498" t="e">
        <f>"Routed Too Short to U2 [" &amp;$B$2&amp;"]"</f>
        <v>#REF!</v>
      </c>
      <c r="W29" s="496" t="e">
        <f>"Routed Too Long to U2 [" &amp;$B$2&amp;"]"</f>
        <v>#REF!</v>
      </c>
      <c r="X29" s="508"/>
      <c r="Y29" s="380"/>
      <c r="Z29" s="380"/>
      <c r="AA29" s="380"/>
      <c r="AB29" s="380"/>
      <c r="AC29" s="380"/>
      <c r="AD29" s="380"/>
      <c r="AE29" s="380"/>
      <c r="AF29" s="499" t="s">
        <v>494</v>
      </c>
      <c r="AG29" s="500" t="e">
        <f>"L8-2 Length Test (&lt;=" &amp; IF($B$2="mil",1,0.0254)*200&amp;$B$2&amp;") or (L6-1+L8-2&lt;= "&amp;IF($B$2="mil",1,0.0254)*1200&amp;$B$2&amp;")"</f>
        <v>#REF!</v>
      </c>
      <c r="AH29" s="497" t="e">
        <f>"Total Length to U2 (L0+L1+L2+L5+L6-1+L8-2)Test
 ("&amp;IF($B$2="mil",1,0.0254)*500&amp;"-"&amp;IF($B$2="mil",1,0.0254)*6500&amp;IF($B$2="mil","mil","mm")&amp;")"</f>
        <v>#REF!</v>
      </c>
      <c r="AI29" s="497" t="e">
        <f>"Total Length to U2 (P1+L0+L1+L2+L5+L6-1+L8-2) Test
 (&lt;="&amp;IF($B$2="mil",1,25.4)*7000&amp;IF($B$2="mil","mil","mm")&amp;")"</f>
        <v>#REF!</v>
      </c>
    </row>
    <row r="30" spans="1:38" x14ac:dyDescent="0.2">
      <c r="P30" s="143" t="s">
        <v>67</v>
      </c>
      <c r="Q30" s="143"/>
      <c r="R30" s="143"/>
      <c r="S30" s="502" t="s">
        <v>275</v>
      </c>
      <c r="T30" s="486" t="e">
        <f>MIN('DDR2 Clocks - 2L'!$S$5:$S$6)</f>
        <v>#REF!</v>
      </c>
      <c r="U30" s="144" t="e">
        <f>MAX('DDR2 Clocks - 2L'!$S$5:$S$6)</f>
        <v>#REF!</v>
      </c>
      <c r="V30" s="486"/>
      <c r="W30" s="486"/>
      <c r="AF30" s="143" t="s">
        <v>67</v>
      </c>
      <c r="AG30" s="483"/>
      <c r="AH30" s="483"/>
      <c r="AI30" s="484"/>
      <c r="AL30" s="4"/>
    </row>
    <row r="31" spans="1:38" x14ac:dyDescent="0.2">
      <c r="K31"/>
      <c r="P31" s="134" t="s">
        <v>425</v>
      </c>
      <c r="Q31" s="157"/>
      <c r="R31" s="157"/>
      <c r="S31" s="157"/>
      <c r="T31" s="525"/>
      <c r="U31" s="526"/>
      <c r="V31" s="526"/>
      <c r="W31" s="525"/>
      <c r="AF31" s="134" t="s">
        <v>280</v>
      </c>
      <c r="AG31" s="155"/>
      <c r="AH31" s="155"/>
      <c r="AI31" s="478"/>
      <c r="AL31" s="4"/>
    </row>
    <row r="32" spans="1:38" x14ac:dyDescent="0.2">
      <c r="K32"/>
      <c r="P32" s="214" t="s">
        <v>73</v>
      </c>
      <c r="Q32" s="551">
        <v>22.25</v>
      </c>
      <c r="R32" s="527">
        <f>SUM($E20:$G20,$M20,$N20,$Q32)</f>
        <v>4350.7800000000007</v>
      </c>
      <c r="S32" s="479" t="e">
        <f>$R32+IF($B$2="mil",1,0.0254)*$C20</f>
        <v>#REF!</v>
      </c>
      <c r="T32" s="469" t="e">
        <f>$U$30 + IF($B$2="mil",1,0.0254)*DDR2Specs!$E$6</f>
        <v>#REF!</v>
      </c>
      <c r="U32" s="523" t="e">
        <f>$T$30 + IF($B$2="mil",1,0.0254)*DDR2Specs!$F$6</f>
        <v>#REF!</v>
      </c>
      <c r="V32" s="528" t="e">
        <f>IF($S32&lt;$T32,$T32-$S32,"Pass")</f>
        <v>#REF!</v>
      </c>
      <c r="W32" s="528" t="e">
        <f>IF($S32&gt;$U32,$S32-$U32,"Pass")</f>
        <v>#REF!</v>
      </c>
      <c r="AF32" s="505" t="s">
        <v>73</v>
      </c>
      <c r="AG32" s="473" t="e">
        <f ca="1">CheckLength2(IF($B$2="mil",1,0.0254)*1200,N20,Q32,0)</f>
        <v>#NAME?</v>
      </c>
      <c r="AH32" s="504" t="e">
        <f>IF(AND(R32&gt;=IF($B$2="mil",1,0.0254)*500, $R32&lt;=IF($B$2="mil",1,0.0254)*6500),"Pass",IF($B$2="mil",1,0.0254)*6500-$R32)</f>
        <v>#REF!</v>
      </c>
      <c r="AI32" s="504" t="e">
        <f>IF(AND($S32&gt;=IF($B$2="mil",1,0.0254)*500, $S32&lt;=IF($B$2="mil",1,0.0254)*7000),"Pass",IF($B$2="mil",1,0.0254)*7000-$S32)</f>
        <v>#REF!</v>
      </c>
      <c r="AJ32" s="4" t="e">
        <f ca="1">IF(AND(V32="Pass",W32="Pass",AG32="Pass",AH32="Pass",AI32="Pass"),"Pass","Fail")</f>
        <v>#REF!</v>
      </c>
      <c r="AL32" s="4"/>
    </row>
    <row r="33" spans="11:38" x14ac:dyDescent="0.2">
      <c r="K33"/>
      <c r="P33" s="214" t="s">
        <v>75</v>
      </c>
      <c r="Q33" s="551">
        <v>87.69</v>
      </c>
      <c r="R33" s="527">
        <f>SUM($E21:$G21,$M21,$N21,$Q33)</f>
        <v>4386.8599999999997</v>
      </c>
      <c r="S33" s="479" t="e">
        <f>$R33+IF($B$2="mil",1,0.0254)*$C21</f>
        <v>#REF!</v>
      </c>
      <c r="T33" s="469" t="e">
        <f>$U$30 + IF($B$2="mil",1,0.0254)*DDR2Specs!$E$6</f>
        <v>#REF!</v>
      </c>
      <c r="U33" s="523" t="e">
        <f>$T$30 + IF($B$2="mil",1,0.0254)*DDR2Specs!$F$6</f>
        <v>#REF!</v>
      </c>
      <c r="V33" s="528" t="e">
        <f>IF($S33&lt;$T33,$T33-$S33,"Pass")</f>
        <v>#REF!</v>
      </c>
      <c r="W33" s="528" t="e">
        <f>IF($S33&gt;$U33,$S33-$U33,"Pass")</f>
        <v>#REF!</v>
      </c>
      <c r="AF33" s="505" t="s">
        <v>75</v>
      </c>
      <c r="AG33" s="473" t="e">
        <f ca="1">CheckLength2(IF($B$2="mil",1,0.0254)*1200,N21,Q33,0)</f>
        <v>#NAME?</v>
      </c>
      <c r="AH33" s="504" t="e">
        <f>IF(AND(R33&gt;=IF($B$2="mil",1,0.0254)*500, $R33&lt;=IF($B$2="mil",1,0.0254)*6500),"Pass",IF($B$2="mil",1,0.0254)*6500-$R33)</f>
        <v>#REF!</v>
      </c>
      <c r="AI33" s="504" t="e">
        <f>IF(AND($S33&gt;=IF($B$2="mil",1,0.0254)*500, $S33&lt;=IF($B$2="mil",1,0.0254)*7000),"Pass",IF($B$2="mil",1,0.0254)*7000-$S33)</f>
        <v>#REF!</v>
      </c>
      <c r="AJ33" s="4" t="e">
        <f ca="1">IF(AND(V33="Pass",W33="Pass",AG33="Pass",AH33="Pass",AI33="Pass"),"Pass","Fail")</f>
        <v>#REF!</v>
      </c>
      <c r="AL33" s="4"/>
    </row>
    <row r="34" spans="11:38" x14ac:dyDescent="0.2">
      <c r="P34" s="162" t="s">
        <v>77</v>
      </c>
      <c r="Q34" s="551">
        <v>58.38</v>
      </c>
      <c r="R34" s="527">
        <f>SUM($E22:$G22,$M22,$N22,$Q34)</f>
        <v>4317.79</v>
      </c>
      <c r="S34" s="479" t="e">
        <f>$R34+IF($B$2="mil",1,0.0254)*$C22</f>
        <v>#REF!</v>
      </c>
      <c r="T34" s="469" t="e">
        <f>$U$30 + IF($B$2="mil",1,0.0254)*DDR2Specs!$E$6</f>
        <v>#REF!</v>
      </c>
      <c r="U34" s="523" t="e">
        <f>$T$30 + IF($B$2="mil",1,0.0254)*DDR2Specs!$F$6</f>
        <v>#REF!</v>
      </c>
      <c r="V34" s="491" t="e">
        <f>IF($S34&lt;$T34,$T34-$S34,"Pass")</f>
        <v>#REF!</v>
      </c>
      <c r="W34" s="492" t="e">
        <f>IF($S34&gt;$U34,$S34-$U34,"Pass")</f>
        <v>#REF!</v>
      </c>
      <c r="AF34" s="503" t="s">
        <v>77</v>
      </c>
      <c r="AG34" s="473" t="e">
        <f ca="1">CheckLength2(IF($B$2="mil",1,0.0254)*1200,N22,Q34,0)</f>
        <v>#NAME?</v>
      </c>
      <c r="AH34" s="504" t="e">
        <f>IF(AND(R34&gt;=IF($B$2="mil",1,0.0254)*500, $R34&lt;=IF($B$2="mil",1,0.0254)*6500),"Pass",IF($B$2="mil",1,0.0254)*6500-$R34)</f>
        <v>#REF!</v>
      </c>
      <c r="AI34" s="504" t="e">
        <f>IF(AND($S34&gt;=IF($B$2="mil",1,0.0254)*500, $S34&lt;=IF($B$2="mil",1,0.0254)*7000),"Pass",IF($B$2="mil",1,0.0254)*7000-$S34)</f>
        <v>#REF!</v>
      </c>
      <c r="AJ34" s="4" t="e">
        <f ca="1">IF(AND(V34="Pass",W34="Pass",AG34="Pass",AH34="Pass",AI34="Pass"),"Pass","Fail")</f>
        <v>#REF!</v>
      </c>
      <c r="AL34" s="4"/>
    </row>
    <row r="35" spans="11:38" ht="45" x14ac:dyDescent="0.2">
      <c r="P35" s="123" t="s">
        <v>494</v>
      </c>
      <c r="Q35" s="123" t="e">
        <f>"Trace L8-2 ["&amp;$B$2&amp;"]"</f>
        <v>#REF!</v>
      </c>
      <c r="R35" s="495" t="s">
        <v>443</v>
      </c>
      <c r="S35" s="495" t="s">
        <v>444</v>
      </c>
      <c r="T35" s="497" t="e">
        <f>"Target Min Length  to U6
["&amp;$B$2&amp;"]"</f>
        <v>#REF!</v>
      </c>
      <c r="U35" s="497" t="e">
        <f>"Target Max Length  to U6 
["&amp;$B$2&amp;"]"</f>
        <v>#REF!</v>
      </c>
      <c r="V35" s="497" t="e">
        <f>"Routed Too Short to U6 [" &amp;$B$2&amp;"]"</f>
        <v>#REF!</v>
      </c>
      <c r="W35" s="497" t="e">
        <f>"Routed Too Long to U6 [" &amp;$B$2&amp;"]"</f>
        <v>#REF!</v>
      </c>
      <c r="AF35" s="499" t="s">
        <v>494</v>
      </c>
      <c r="AG35" s="500" t="e">
        <f>"L8-2 Length Test (&lt;=" &amp; IF($B$2="mil",1,0.0254)*200&amp;$B$2&amp;") or (L6-1+L8-2&lt;= "&amp;IF($B$2="mil",1,0.0254)*1200&amp;$B$2&amp;")"</f>
        <v>#REF!</v>
      </c>
      <c r="AH35" s="497" t="e">
        <f>"Total Length to U6 (L0+L1+L2+L5+L6-1+L8-2)Test
 ("&amp;IF($B$2="mil",1,0.0254)*500&amp;"-"&amp;IF($B$2="mil",1,0.0254)*6500&amp;IF($B$2="mil","mil","mm")&amp;")"</f>
        <v>#REF!</v>
      </c>
      <c r="AI35" s="497" t="e">
        <f>"Total Length to U6 (P1+L0+L1+L2+L5+L6-1+L8-2) Test
 (&lt;="&amp;IF($B$2="mil",1,25.4)*7000&amp;IF($B$2="mil","mil","mm")&amp;")"</f>
        <v>#REF!</v>
      </c>
      <c r="AJ35" s="4"/>
      <c r="AL35" s="4"/>
    </row>
    <row r="36" spans="11:38" x14ac:dyDescent="0.2">
      <c r="P36" s="140" t="s">
        <v>67</v>
      </c>
      <c r="Q36" s="345"/>
      <c r="R36" s="345"/>
      <c r="S36" s="502" t="s">
        <v>333</v>
      </c>
      <c r="T36" s="486" t="e">
        <f>MIN('DDR2 Clocks - 4L'!$O$11:$O$12)</f>
        <v>#REF!</v>
      </c>
      <c r="U36" s="486" t="e">
        <f>MAX('DDR2 Clocks - 4L'!$O$11:$O$12)</f>
        <v>#REF!</v>
      </c>
      <c r="V36" s="487"/>
      <c r="W36" s="145"/>
      <c r="AF36" s="143" t="s">
        <v>67</v>
      </c>
      <c r="AG36" s="483"/>
      <c r="AH36" s="483"/>
      <c r="AI36" s="484"/>
      <c r="AJ36" s="4"/>
      <c r="AL36" s="4"/>
    </row>
    <row r="37" spans="11:38" x14ac:dyDescent="0.2">
      <c r="P37" s="134" t="s">
        <v>426</v>
      </c>
      <c r="Q37" s="157"/>
      <c r="R37" s="157"/>
      <c r="S37" s="157"/>
      <c r="T37" s="155"/>
      <c r="U37" s="476"/>
      <c r="V37" s="476"/>
      <c r="W37" s="155"/>
      <c r="AF37" s="134" t="s">
        <v>280</v>
      </c>
      <c r="AG37" s="155"/>
      <c r="AH37" s="155"/>
      <c r="AI37" s="478"/>
      <c r="AJ37" s="4"/>
      <c r="AL37" s="4"/>
    </row>
    <row r="38" spans="11:38" x14ac:dyDescent="0.2">
      <c r="P38" s="162" t="s">
        <v>74</v>
      </c>
      <c r="Q38" s="551">
        <v>79.69</v>
      </c>
      <c r="R38" s="527">
        <f>SUM($E26:$G26,$M26,$N26,$Q38)</f>
        <v>4263.82</v>
      </c>
      <c r="S38" s="479" t="e">
        <f>$R38+IF($B$2="mil",1,0.0254)*$C26</f>
        <v>#REF!</v>
      </c>
      <c r="T38" s="469" t="e">
        <f>$U$36 + IF($B$2="mil",1,0.0254)*DDR2Specs!$E$6</f>
        <v>#REF!</v>
      </c>
      <c r="U38" s="523" t="e">
        <f>$T$36 + IF($B$2="mil",1,0.0254)*DDR2Specs!$F$6</f>
        <v>#REF!</v>
      </c>
      <c r="V38" s="491" t="e">
        <f>IF($S38&lt;$T38,$T38-$S38,"Pass")</f>
        <v>#REF!</v>
      </c>
      <c r="W38" s="492" t="e">
        <f>IF($S38&gt;$U38,$S38-$U38,"Pass")</f>
        <v>#REF!</v>
      </c>
      <c r="AF38" s="503" t="s">
        <v>74</v>
      </c>
      <c r="AG38" s="473" t="e">
        <f ca="1">CheckLength2(IF($B$2="mil",1,0.0254)*1200,N26,Q38,0)</f>
        <v>#NAME?</v>
      </c>
      <c r="AH38" s="504" t="e">
        <f>IF(AND(R38&gt;=IF($B$2="mil",1,0.0254)*500, $R38&lt;=IF($B$2="mil",1,0.0254)*6500),"Pass",IF($B$2="mil",1,0.0254)*6500-$R38)</f>
        <v>#REF!</v>
      </c>
      <c r="AI38" s="504" t="e">
        <f>IF(AND($S38&gt;=IF($B$2="mil",1,0.0254)*500, $S38&lt;=IF($B$2="mil",1,0.0254)*7000),"Pass",IF($B$2="mil",1,0.0254)*7000-$S38)</f>
        <v>#REF!</v>
      </c>
      <c r="AJ38" s="4" t="e">
        <f ca="1">IF(AND(V38="Pass",W38="Pass",AG38="Pass",AH38="Pass",AI38="Pass"),"Pass","Fail")</f>
        <v>#REF!</v>
      </c>
      <c r="AL38" s="4"/>
    </row>
    <row r="39" spans="11:38" x14ac:dyDescent="0.2">
      <c r="P39" s="162" t="s">
        <v>76</v>
      </c>
      <c r="Q39" s="551">
        <v>109.17</v>
      </c>
      <c r="R39" s="527">
        <f>SUM($E27:$G27,$M27,$N27,$Q39)</f>
        <v>4311.3</v>
      </c>
      <c r="S39" s="479" t="e">
        <f>$R39+IF($B$2="mil",1,0.0254)*$C27</f>
        <v>#REF!</v>
      </c>
      <c r="T39" s="469" t="e">
        <f>$U$36 + IF($B$2="mil",1,0.0254)*DDR2Specs!$E$6</f>
        <v>#REF!</v>
      </c>
      <c r="U39" s="523" t="e">
        <f>$T$36 + IF($B$2="mil",1,0.0254)*DDR2Specs!$F$6</f>
        <v>#REF!</v>
      </c>
      <c r="V39" s="491" t="e">
        <f>IF($S39&lt;$T39,$T39-$S39,"Pass")</f>
        <v>#REF!</v>
      </c>
      <c r="W39" s="492" t="e">
        <f>IF($S39&gt;$U39,$S39-$U39,"Pass")</f>
        <v>#REF!</v>
      </c>
      <c r="AF39" s="503" t="s">
        <v>76</v>
      </c>
      <c r="AG39" s="473" t="e">
        <f ca="1">CheckLength2(IF($B$2="mil",1,0.0254)*1200,N27,Q39,0)</f>
        <v>#NAME?</v>
      </c>
      <c r="AH39" s="504" t="e">
        <f>IF(AND(R39&gt;=IF($B$2="mil",1,0.0254)*500, $R39&lt;=IF($B$2="mil",1,0.0254)*6500),"Pass",IF($B$2="mil",1,0.0254)*6500-$R39)</f>
        <v>#REF!</v>
      </c>
      <c r="AI39" s="504" t="e">
        <f>IF(AND($S39&gt;=IF($B$2="mil",1,0.0254)*500, $S39&lt;=IF($B$2="mil",1,0.0254)*7000),"Pass",IF($B$2="mil",1,0.0254)*7000-$S39)</f>
        <v>#REF!</v>
      </c>
      <c r="AJ39" s="4" t="e">
        <f ca="1">IF(AND(V39="Pass",W39="Pass",AG39="Pass",AH39="Pass",AI39="Pass"),"Pass","Fail")</f>
        <v>#REF!</v>
      </c>
      <c r="AL39" s="4"/>
    </row>
    <row r="40" spans="11:38" x14ac:dyDescent="0.2">
      <c r="P40" s="162" t="s">
        <v>78</v>
      </c>
      <c r="Q40" s="551">
        <v>22.28</v>
      </c>
      <c r="R40" s="527">
        <f>SUM($E28:$G28,$M28,$N28,$Q40)</f>
        <v>4102.82</v>
      </c>
      <c r="S40" s="479" t="e">
        <f>$R40+IF($B$2="mil",1,0.0254)*$C28</f>
        <v>#REF!</v>
      </c>
      <c r="T40" s="469" t="e">
        <f>$U$36 + IF($B$2="mil",1,0.0254)*DDR2Specs!$E$6</f>
        <v>#REF!</v>
      </c>
      <c r="U40" s="523" t="e">
        <f>$T$36 + IF($B$2="mil",1,0.0254)*DDR2Specs!$F$6</f>
        <v>#REF!</v>
      </c>
      <c r="V40" s="491" t="e">
        <f>IF($S40&lt;$T40,$T40-$S40,"Pass")</f>
        <v>#REF!</v>
      </c>
      <c r="W40" s="492" t="e">
        <f>IF($S40&gt;$U40,$S40-$U40,"Pass")</f>
        <v>#REF!</v>
      </c>
      <c r="AF40" s="503" t="s">
        <v>78</v>
      </c>
      <c r="AG40" s="473" t="e">
        <f ca="1">CheckLength2(IF($B$2="mil",1,0.0254)*1200,N28,Q40,0)</f>
        <v>#NAME?</v>
      </c>
      <c r="AH40" s="504" t="e">
        <f>IF(AND(R40&gt;=IF($B$2="mil",1,0.0254)*500, $R40&lt;=IF($B$2="mil",1,0.0254)*6500),"Pass",IF($B$2="mil",1,0.0254)*6500-$R40)</f>
        <v>#REF!</v>
      </c>
      <c r="AI40" s="504" t="e">
        <f>IF(AND($S40&gt;=IF($B$2="mil",1,0.0254)*500, $S40&lt;=IF($B$2="mil",1,0.0254)*7000),"Pass",IF($B$2="mil",1,0.0254)*7000-$S40)</f>
        <v>#REF!</v>
      </c>
      <c r="AJ40" s="4" t="e">
        <f ca="1">IF(AND(V40="Pass",W40="Pass",AG40="Pass",AH40="Pass",AI40="Pass"),"Pass","Fail")</f>
        <v>#REF!</v>
      </c>
      <c r="AL40" s="4"/>
    </row>
    <row r="41" spans="11:38" ht="45" x14ac:dyDescent="0.2">
      <c r="K41" s="356"/>
      <c r="M41" s="356"/>
      <c r="N41" s="123" t="s">
        <v>494</v>
      </c>
      <c r="O41" s="123"/>
      <c r="P41" s="123" t="e">
        <f>"Trace L6-2 ["&amp;$B$2&amp;"]"</f>
        <v>#REF!</v>
      </c>
      <c r="Q41" s="123" t="e">
        <f>"Trace L8-3 ["&amp;$B$2&amp;"]"</f>
        <v>#REF!</v>
      </c>
      <c r="R41" s="495" t="s">
        <v>445</v>
      </c>
      <c r="S41" s="499" t="s">
        <v>446</v>
      </c>
      <c r="T41" s="496" t="e">
        <f>"Target Min Length to U3
["&amp;$B$2&amp;"]"</f>
        <v>#REF!</v>
      </c>
      <c r="U41" s="496" t="e">
        <f>"Target Max Length to U3 
["&amp;$B$2&amp;"]"</f>
        <v>#REF!</v>
      </c>
      <c r="V41" s="498" t="e">
        <f>"Routed Too Short to U3 [" &amp;$B$2&amp;"]"</f>
        <v>#REF!</v>
      </c>
      <c r="W41" s="496" t="e">
        <f>"Routed Too Long to U3 [" &amp;$B$2&amp;"]"</f>
        <v>#REF!</v>
      </c>
      <c r="AB41" s="499" t="s">
        <v>494</v>
      </c>
      <c r="AC41" s="497" t="e">
        <f>"L6-2 Length Test (&lt;=" &amp; IF($B$2="mil",1,0.0254)*1000&amp;$B$2&amp;")"</f>
        <v>#REF!</v>
      </c>
      <c r="AG41" s="500" t="e">
        <f>"L8-3 Length Test (&lt;=" &amp; IF($B$2="mil",1,0.0254)*200&amp;$B$2&amp;") or (L6-2+L8-3&lt;= "&amp;IF($B$2="mil",1,0.0254)*1200&amp;$B$2&amp;")"</f>
        <v>#REF!</v>
      </c>
      <c r="AH41" s="497" t="e">
        <f>"Total Length to U3 (L0+L1+L2+L5+L6-2+L8-3)Test
 ("&amp;IF($B$2="mil",1,0.0254)*500&amp;"-"&amp;IF($B$2="mil",1,0.0254)*6500&amp;IF($B$2="mil","mil","mm")&amp;")"</f>
        <v>#REF!</v>
      </c>
      <c r="AI41" s="497" t="e">
        <f>"Total Length to U3 (P1+L0+L1+L2+L5+L6-2+L8-3) Test
 (&lt;="&amp;IF($B$2="mil",1,25.4)*7000&amp;IF($B$2="mil","mil","mm")&amp;")"</f>
        <v>#REF!</v>
      </c>
      <c r="AL41" s="4"/>
    </row>
    <row r="42" spans="11:38" x14ac:dyDescent="0.2">
      <c r="N42" s="140" t="s">
        <v>67</v>
      </c>
      <c r="O42" s="140"/>
      <c r="P42" s="143"/>
      <c r="Q42" s="143"/>
      <c r="R42" s="143"/>
      <c r="S42" s="502" t="s">
        <v>274</v>
      </c>
      <c r="T42" s="486" t="e">
        <f>MIN('DDR2 Clocks - 2L'!$R$7:$R$8)</f>
        <v>#REF!</v>
      </c>
      <c r="U42" s="144" t="e">
        <f>MAX('DDR2 Clocks - 2L'!$R$7:$R$8)</f>
        <v>#REF!</v>
      </c>
      <c r="V42" s="529"/>
      <c r="W42" s="486"/>
      <c r="AB42" s="143" t="s">
        <v>67</v>
      </c>
      <c r="AC42" s="484"/>
      <c r="AG42" s="483"/>
      <c r="AH42" s="483"/>
      <c r="AI42" s="484"/>
      <c r="AL42" s="4"/>
    </row>
    <row r="43" spans="11:38" x14ac:dyDescent="0.2">
      <c r="K43" s="356"/>
      <c r="M43" s="356"/>
      <c r="N43" s="134" t="s">
        <v>425</v>
      </c>
      <c r="O43" s="366"/>
      <c r="P43" s="157"/>
      <c r="Q43" s="157"/>
      <c r="R43" s="157"/>
      <c r="S43" s="157"/>
      <c r="T43" s="525"/>
      <c r="U43" s="526"/>
      <c r="V43" s="526"/>
      <c r="W43" s="525"/>
      <c r="AB43" s="134" t="s">
        <v>280</v>
      </c>
      <c r="AC43" s="244"/>
      <c r="AG43" s="155"/>
      <c r="AH43" s="155"/>
      <c r="AI43" s="478"/>
      <c r="AL43" s="4"/>
    </row>
    <row r="44" spans="11:38" x14ac:dyDescent="0.2">
      <c r="N44" s="161" t="s">
        <v>73</v>
      </c>
      <c r="O44" s="161"/>
      <c r="P44">
        <v>746.61</v>
      </c>
      <c r="Q44" s="551">
        <v>56.17</v>
      </c>
      <c r="R44" s="479">
        <f>SUM($E20:$G20,$M20,$P44,$Q44)</f>
        <v>4407.4000000000005</v>
      </c>
      <c r="S44" s="479" t="e">
        <f>$R44+IF($B$2="mil",1,0.0254)*$C20</f>
        <v>#REF!</v>
      </c>
      <c r="T44" s="469" t="e">
        <f>$U$42 + IF($B$2="mil",1,0.0254)*DDR2Specs!$E$6</f>
        <v>#REF!</v>
      </c>
      <c r="U44" s="523" t="e">
        <f>$T$42 + IF($B$2="mil",1,0.0254)*DDR2Specs!$F$6</f>
        <v>#REF!</v>
      </c>
      <c r="V44" s="491" t="e">
        <f>IF($S44&lt;$T44,$T44-$S44,"Pass")</f>
        <v>#REF!</v>
      </c>
      <c r="W44" s="492" t="e">
        <f>IF($S44&gt;$U44,$S44-$U44,"Pass")</f>
        <v>#REF!</v>
      </c>
      <c r="AB44" s="503" t="s">
        <v>73</v>
      </c>
      <c r="AC44" s="504" t="e">
        <f>IF(P44&lt;=IF($B$2="mil",1,0.0254)*1000,"Pass",IF($B$2="mil",1,0.0254)*1000-P44)</f>
        <v>#REF!</v>
      </c>
      <c r="AG44" s="473" t="e">
        <f ca="1">CheckLength2(IF($B$2="mil",1,0.0254)*1200,P44,Q44,0)</f>
        <v>#NAME?</v>
      </c>
      <c r="AH44" s="473" t="e">
        <f>IF(AND(R44&gt;=IF($B$2="mil",1,0.0254)*500, $R44&lt;=IF($B$2="mil",1,0.0254)*6500),"Pass",IF($B$2="mil",1,0.0254)*6500-$R44)</f>
        <v>#REF!</v>
      </c>
      <c r="AI44" s="474" t="e">
        <f>IF(AND($S44&gt;=IF($B$2="mil",1,0.0254)*500, $S44&lt;=IF($B$2="mil",1,0.0254)*7000),"Pass",IF($B$2="mil",1,0.0254)*7000-$S44)</f>
        <v>#REF!</v>
      </c>
      <c r="AJ44" s="4" t="e">
        <f ca="1">IF(AND(V44="Pass",W44="Pass",AC44="Pass",AG44="Pass",AH44="Pass",AI44="Pass"),"Pass","Fail")</f>
        <v>#REF!</v>
      </c>
      <c r="AL44" s="4"/>
    </row>
    <row r="45" spans="11:38" x14ac:dyDescent="0.2">
      <c r="N45" s="161" t="s">
        <v>75</v>
      </c>
      <c r="O45" s="161"/>
      <c r="P45">
        <v>688.58</v>
      </c>
      <c r="Q45" s="551">
        <v>101.85</v>
      </c>
      <c r="R45" s="479">
        <f>SUM($E21:$G21,$M21,$P45,$Q45)</f>
        <v>4369.2000000000007</v>
      </c>
      <c r="S45" s="479" t="e">
        <f>$R45+IF($B$2="mil",1,0.0254)*$C21</f>
        <v>#REF!</v>
      </c>
      <c r="T45" s="469" t="e">
        <f>$U$42 + IF($B$2="mil",1,0.0254)*DDR2Specs!$E$6</f>
        <v>#REF!</v>
      </c>
      <c r="U45" s="523" t="e">
        <f>$T$42 + IF($B$2="mil",1,0.0254)*DDR2Specs!$F$6</f>
        <v>#REF!</v>
      </c>
      <c r="V45" s="491" t="e">
        <f>IF($S45&lt;$T45,$T45-$S45,"Pass")</f>
        <v>#REF!</v>
      </c>
      <c r="W45" s="492" t="e">
        <f>IF($S45&gt;$U45,$S45-$U45,"Pass")</f>
        <v>#REF!</v>
      </c>
      <c r="AB45" s="503" t="s">
        <v>75</v>
      </c>
      <c r="AC45" s="504" t="e">
        <f>IF(P45&lt;=IF($B$2="mil",1,0.0254)*1000,"Pass",IF($B$2="mil",1,0.0254)*1000-P45)</f>
        <v>#REF!</v>
      </c>
      <c r="AG45" s="473" t="e">
        <f ca="1">CheckLength2(IF($B$2="mil",1,0.0254)*1200,P45,Q45,0)</f>
        <v>#NAME?</v>
      </c>
      <c r="AH45" s="473" t="e">
        <f>IF(AND(R45&gt;=IF($B$2="mil",1,0.0254)*500, $R45&lt;=IF($B$2="mil",1,0.0254)*6500),"Pass",IF($B$2="mil",1,0.0254)*6500-$R45)</f>
        <v>#REF!</v>
      </c>
      <c r="AI45" s="474" t="e">
        <f>IF(AND($S45&gt;=IF($B$2="mil",1,0.0254)*500, $S45&lt;=IF($B$2="mil",1,0.0254)*7000),"Pass",IF($B$2="mil",1,0.0254)*7000-$S45)</f>
        <v>#REF!</v>
      </c>
      <c r="AJ45" s="4" t="e">
        <f ca="1">IF(AND(V45="Pass",W45="Pass",AC45="Pass",AG45="Pass",AH45="Pass",AI45="Pass"),"Pass","Fail")</f>
        <v>#REF!</v>
      </c>
      <c r="AL45" s="4"/>
    </row>
    <row r="46" spans="11:38" x14ac:dyDescent="0.2">
      <c r="N46" s="161" t="s">
        <v>77</v>
      </c>
      <c r="O46" s="161"/>
      <c r="P46">
        <v>704.48</v>
      </c>
      <c r="Q46" s="551">
        <v>86.1</v>
      </c>
      <c r="R46" s="479">
        <f>SUM($E22:$G22,$M22,$P46,$Q46)</f>
        <v>4307.7000000000007</v>
      </c>
      <c r="S46" s="479" t="e">
        <f>$R46+IF($B$2="mil",1,0.0254)*$C22</f>
        <v>#REF!</v>
      </c>
      <c r="T46" s="469" t="e">
        <f>$U$42 + IF($B$2="mil",1,0.0254)*DDR2Specs!$E$6</f>
        <v>#REF!</v>
      </c>
      <c r="U46" s="523" t="e">
        <f>$T$42 + IF($B$2="mil",1,0.0254)*DDR2Specs!$F$6</f>
        <v>#REF!</v>
      </c>
      <c r="V46" s="491" t="e">
        <f>IF($S46&lt;$T46,$T46-$S46,"Pass")</f>
        <v>#REF!</v>
      </c>
      <c r="W46" s="492" t="e">
        <f>IF($S46&gt;$U46,$S46-$U46,"Pass")</f>
        <v>#REF!</v>
      </c>
      <c r="AB46" s="503" t="s">
        <v>77</v>
      </c>
      <c r="AC46" s="504" t="e">
        <f>IF(P46&lt;=IF($B$2="mil",1,0.0254)*1000,"Pass",IF($B$2="mil",1,0.0254)*1000-P46)</f>
        <v>#REF!</v>
      </c>
      <c r="AG46" s="473" t="e">
        <f ca="1">CheckLength2(IF($B$2="mil",1,0.0254)*1200,P46,Q46,0)</f>
        <v>#NAME?</v>
      </c>
      <c r="AH46" s="473" t="e">
        <f>IF(AND(R46&gt;=IF($B$2="mil",1,0.0254)*500, $R46&lt;=IF($B$2="mil",1,0.0254)*6500),"Pass",IF($B$2="mil",1,0.0254)*6500-$R46)</f>
        <v>#REF!</v>
      </c>
      <c r="AI46" s="474" t="e">
        <f>IF(AND($S46&gt;=IF($B$2="mil",1,0.0254)*500, $S46&lt;=IF($B$2="mil",1,0.0254)*7000),"Pass",IF($B$2="mil",1,0.0254)*7000-$S46)</f>
        <v>#REF!</v>
      </c>
      <c r="AJ46" s="4" t="e">
        <f ca="1">IF(AND(V46="Pass",W46="Pass",AC46="Pass",AG46="Pass",AH46="Pass",AI46="Pass"),"Pass","Fail")</f>
        <v>#REF!</v>
      </c>
      <c r="AL46" s="4"/>
    </row>
    <row r="47" spans="11:38" ht="45" x14ac:dyDescent="0.2">
      <c r="K47" s="356"/>
      <c r="M47" s="356"/>
      <c r="N47" s="123" t="s">
        <v>494</v>
      </c>
      <c r="O47" s="123"/>
      <c r="P47" s="123" t="e">
        <f>"Trace L6-2 ["&amp;$B$2&amp;"]"</f>
        <v>#REF!</v>
      </c>
      <c r="Q47" s="123" t="e">
        <f>"Trace L8-3 ["&amp;$B$2&amp;"]"</f>
        <v>#REF!</v>
      </c>
      <c r="R47" s="495" t="s">
        <v>447</v>
      </c>
      <c r="S47" s="495" t="s">
        <v>448</v>
      </c>
      <c r="T47" s="497" t="e">
        <f>"Target Min Length to U7
["&amp;$B$2&amp;"]"</f>
        <v>#REF!</v>
      </c>
      <c r="U47" s="497" t="e">
        <f>"Target Max Length to U7 
["&amp;$B$2&amp;"]"</f>
        <v>#REF!</v>
      </c>
      <c r="V47" s="524" t="e">
        <f>"Routed Too Short to U7 [" &amp;$B$2&amp;"]"</f>
        <v>#REF!</v>
      </c>
      <c r="W47" s="497" t="e">
        <f>"Routed Too Long to U7 [" &amp;$B$2&amp;"]"</f>
        <v>#REF!</v>
      </c>
      <c r="AB47" s="495" t="s">
        <v>494</v>
      </c>
      <c r="AC47" s="497" t="e">
        <f>"L6-2 Length Test (&lt;=" &amp; IF($B$2="mil",1,0.0254)*1000&amp;$B$2&amp;")"</f>
        <v>#REF!</v>
      </c>
      <c r="AG47" s="500" t="e">
        <f>"L8-3 Length Test (&lt;=" &amp; IF($B$2="mil",1,0.0254)*200&amp;$B$2&amp;") or (L6-2+L8-3&lt;= "&amp;IF($B$2="mil",1,0.0254)*1200&amp;$B$2&amp;")"</f>
        <v>#REF!</v>
      </c>
      <c r="AH47" s="497" t="e">
        <f>"Total Length to U7 (L0+L1+L2+L5+L6-2+L8-3)Test
 ("&amp;IF($B$2="mil",1,0.0254)*500&amp;"-"&amp;IF($B$2="mil",1,0.0254)*6500&amp;IF($B$2="mil","mil","mm")&amp;")"</f>
        <v>#REF!</v>
      </c>
      <c r="AI47" s="497" t="e">
        <f>"Total Length to U7 (P1+L0+L1+L2+L5+L6-2+L8-3) Test
 (&lt;="&amp;IF($B$2="mil",1,25.4)*7000&amp;IF($B$2="mil","mil","mm")&amp;")"</f>
        <v>#REF!</v>
      </c>
      <c r="AL47" s="4"/>
    </row>
    <row r="48" spans="11:38" x14ac:dyDescent="0.2">
      <c r="N48" s="140" t="s">
        <v>67</v>
      </c>
      <c r="O48" s="140"/>
      <c r="P48" s="143"/>
      <c r="Q48" s="143"/>
      <c r="R48" s="345"/>
      <c r="S48" s="502" t="s">
        <v>334</v>
      </c>
      <c r="T48" s="487" t="e">
        <f>MIN('DDR2 Clocks - 4L'!$O$15:$O$16)</f>
        <v>#REF!</v>
      </c>
      <c r="U48" s="486" t="e">
        <f>MAX('DDR2 Clocks - 4L'!$O$15:$O$16)</f>
        <v>#REF!</v>
      </c>
      <c r="V48" s="487"/>
      <c r="W48" s="145"/>
      <c r="AB48" s="140" t="s">
        <v>67</v>
      </c>
      <c r="AC48" s="484"/>
      <c r="AG48" s="483"/>
      <c r="AH48" s="483"/>
      <c r="AI48" s="484"/>
      <c r="AL48" s="4"/>
    </row>
    <row r="49" spans="14:38" x14ac:dyDescent="0.2">
      <c r="N49" s="134" t="s">
        <v>426</v>
      </c>
      <c r="O49" s="366"/>
      <c r="P49" s="157"/>
      <c r="Q49" s="157"/>
      <c r="R49" s="157"/>
      <c r="S49" s="157"/>
      <c r="T49" s="155"/>
      <c r="U49" s="476"/>
      <c r="V49" s="476"/>
      <c r="W49" s="155"/>
      <c r="AB49" s="134" t="s">
        <v>280</v>
      </c>
      <c r="AC49" s="244"/>
      <c r="AG49" s="155"/>
      <c r="AH49" s="155"/>
      <c r="AI49" s="478"/>
      <c r="AL49" s="4"/>
    </row>
    <row r="50" spans="14:38" x14ac:dyDescent="0.2">
      <c r="N50" s="161" t="s">
        <v>74</v>
      </c>
      <c r="O50" s="161"/>
      <c r="P50">
        <v>468.37</v>
      </c>
      <c r="Q50" s="551">
        <v>75.78</v>
      </c>
      <c r="R50" s="479">
        <f>SUM($E26:$G26,$M26,$P50,$Q50)</f>
        <v>4250.93</v>
      </c>
      <c r="S50" s="479" t="e">
        <f>$R50+IF($B$2="mil",1,0.0254)*$C26</f>
        <v>#REF!</v>
      </c>
      <c r="T50" s="469" t="e">
        <f>$U$48 + IF($B$2="mil",1,0.0254)*DDR2Specs!$E$6</f>
        <v>#REF!</v>
      </c>
      <c r="U50" s="523" t="e">
        <f>$T$48 + IF($B$2="mil",1,0.0254)*DDR2Specs!$F$6</f>
        <v>#REF!</v>
      </c>
      <c r="V50" s="491" t="e">
        <f>IF($S50&lt;$T50,$T50-$S50,"Pass")</f>
        <v>#REF!</v>
      </c>
      <c r="W50" s="492" t="e">
        <f>IF($S50&gt;$U50,$S50-$U50,"Pass")</f>
        <v>#REF!</v>
      </c>
      <c r="AB50" s="503" t="s">
        <v>74</v>
      </c>
      <c r="AC50" s="504" t="e">
        <f>IF(P50&lt;=IF($B$2="mil",1,0.0254)*1000,"Pass",IF($B$2="mil",1,0.0254)*1000-P50)</f>
        <v>#REF!</v>
      </c>
      <c r="AG50" s="473" t="e">
        <f ca="1">CheckLength2(IF($B$2="mil",1,0.0254)*1200,P50,Q50,0)</f>
        <v>#NAME?</v>
      </c>
      <c r="AH50" s="473" t="e">
        <f>IF(AND(R50&gt;=IF($B$2="mil",1,0.0254)*500, $R50&lt;=IF($B$2="mil",1,0.0254)*6500),"Pass",IF($B$2="mil",1,0.0254)*6500-$R50)</f>
        <v>#REF!</v>
      </c>
      <c r="AI50" s="474" t="e">
        <f>IF(AND($S50&gt;=IF($B$2="mil",1,0.0254)*500, $S50&lt;=IF($B$2="mil",1,0.0254)*7000),"Pass",IF($B$2="mil",1,0.0254)*7000-$S50)</f>
        <v>#REF!</v>
      </c>
      <c r="AJ50" s="4" t="e">
        <f ca="1">IF(AND(V50="Pass",W50="Pass",AC50="Pass",AG50="Pass",AH50="Pass",AI50="Pass"),"Pass","Fail")</f>
        <v>#REF!</v>
      </c>
      <c r="AL50" s="4"/>
    </row>
    <row r="51" spans="14:38" x14ac:dyDescent="0.2">
      <c r="N51" s="161" t="s">
        <v>76</v>
      </c>
      <c r="O51" s="161"/>
      <c r="P51">
        <v>560.38</v>
      </c>
      <c r="Q51" s="551">
        <v>126.74</v>
      </c>
      <c r="R51" s="479">
        <f>SUM($E27:$G27,$M27,$P51,$Q51)</f>
        <v>4361.8099999999995</v>
      </c>
      <c r="S51" s="479" t="e">
        <f>$R51+IF($B$2="mil",1,0.0254)*$C27</f>
        <v>#REF!</v>
      </c>
      <c r="T51" s="469" t="e">
        <f>$U$48 + IF($B$2="mil",1,0.0254)*DDR2Specs!$E$6</f>
        <v>#REF!</v>
      </c>
      <c r="U51" s="523" t="e">
        <f>$T$48 + IF($B$2="mil",1,0.0254)*DDR2Specs!$F$6</f>
        <v>#REF!</v>
      </c>
      <c r="V51" s="491" t="e">
        <f>IF($S51&lt;$T51,$T51-$S51,"Pass")</f>
        <v>#REF!</v>
      </c>
      <c r="W51" s="492" t="e">
        <f>IF($S51&gt;$U51,$S51-$U51,"Pass")</f>
        <v>#REF!</v>
      </c>
      <c r="AB51" s="503" t="s">
        <v>76</v>
      </c>
      <c r="AC51" s="504" t="e">
        <f>IF(P51&lt;=IF($B$2="mil",1,0.0254)*1000,"Pass",IF($B$2="mil",1,0.0254)*1000-P51)</f>
        <v>#REF!</v>
      </c>
      <c r="AG51" s="473" t="e">
        <f ca="1">CheckLength2(IF($B$2="mil",1,0.0254)*1200,P51,Q51,0)</f>
        <v>#NAME?</v>
      </c>
      <c r="AH51" s="473" t="e">
        <f>IF(AND(R51&gt;=IF($B$2="mil",1,0.0254)*500, $R51&lt;=IF($B$2="mil",1,0.0254)*6500),"Pass",IF($B$2="mil",1,0.0254)*6500-$R51)</f>
        <v>#REF!</v>
      </c>
      <c r="AI51" s="474" t="e">
        <f>IF(AND($S51&gt;=IF($B$2="mil",1,0.0254)*500, $S51&lt;=IF($B$2="mil",1,0.0254)*7000),"Pass",IF($B$2="mil",1,0.0254)*7000-$S51)</f>
        <v>#REF!</v>
      </c>
      <c r="AJ51" s="4" t="e">
        <f ca="1">IF(AND(V51="Pass",W51="Pass",AC51="Pass",AG51="Pass",AH51="Pass",AI51="Pass"),"Pass","Fail")</f>
        <v>#REF!</v>
      </c>
      <c r="AL51" s="4"/>
    </row>
    <row r="52" spans="14:38" x14ac:dyDescent="0.2">
      <c r="N52" s="161" t="s">
        <v>78</v>
      </c>
      <c r="O52" s="161"/>
      <c r="P52">
        <v>550.91</v>
      </c>
      <c r="Q52" s="551">
        <v>58.36</v>
      </c>
      <c r="R52" s="479">
        <f>SUM($E28:$G28,$M28,$P52,$Q52)</f>
        <v>4164.91</v>
      </c>
      <c r="S52" s="479" t="e">
        <f>$R52+IF($B$2="mil",1,0.0254)*$C28</f>
        <v>#REF!</v>
      </c>
      <c r="T52" s="469" t="e">
        <f>$U$48 + IF($B$2="mil",1,0.0254)*DDR2Specs!$E$6</f>
        <v>#REF!</v>
      </c>
      <c r="U52" s="523" t="e">
        <f>$T$48 + IF($B$2="mil",1,0.0254)*DDR2Specs!$F$6</f>
        <v>#REF!</v>
      </c>
      <c r="V52" s="491" t="e">
        <f>IF($S52&lt;$T52,$T52-$S52,"Pass")</f>
        <v>#REF!</v>
      </c>
      <c r="W52" s="492" t="e">
        <f>IF($S52&gt;$U52,$S52-$U52,"Pass")</f>
        <v>#REF!</v>
      </c>
      <c r="AB52" s="503" t="s">
        <v>78</v>
      </c>
      <c r="AC52" s="504" t="e">
        <f>IF(P52&lt;=IF($B$2="mil",1,0.0254)*1000,"Pass",IF($B$2="mil",1,0.0254)*1000-P52)</f>
        <v>#REF!</v>
      </c>
      <c r="AG52" s="473" t="e">
        <f ca="1">CheckLength2(IF($B$2="mil",1,0.0254)*1200,P52,Q52,0)</f>
        <v>#NAME?</v>
      </c>
      <c r="AH52" s="473" t="e">
        <f>IF(AND(R52&gt;=IF($B$2="mil",1,0.0254)*500, $R52&lt;=IF($B$2="mil",1,0.0254)*6500),"Pass",IF($B$2="mil",1,0.0254)*6500-$R52)</f>
        <v>#REF!</v>
      </c>
      <c r="AI52" s="474" t="e">
        <f>IF(AND($S52&gt;=IF($B$2="mil",1,0.0254)*500, $S52&lt;=IF($B$2="mil",1,0.0254)*7000),"Pass",IF($B$2="mil",1,0.0254)*7000-$S52)</f>
        <v>#REF!</v>
      </c>
      <c r="AJ52" s="4" t="e">
        <f ca="1">IF(AND(V52="Pass",W52="Pass",AC52="Pass",AG52="Pass",AH52="Pass",AI52="Pass"),"Pass","Fail")</f>
        <v>#REF!</v>
      </c>
      <c r="AL52" s="4"/>
    </row>
    <row r="53" spans="14:38" ht="56.25" x14ac:dyDescent="0.2">
      <c r="N53" s="123" t="s">
        <v>494</v>
      </c>
      <c r="O53" s="123"/>
      <c r="P53" s="123" t="e">
        <f>"Trace L7-2 ["&amp;$B$2&amp;"]"</f>
        <v>#REF!</v>
      </c>
      <c r="Q53" s="123" t="e">
        <f>"Trace L8-4 ["&amp;$B$2&amp;"]"</f>
        <v>#REF!</v>
      </c>
      <c r="R53" s="499" t="s">
        <v>449</v>
      </c>
      <c r="S53" s="499" t="s">
        <v>450</v>
      </c>
      <c r="T53" s="496" t="e">
        <f>"Target Min Length to U4
["&amp;$B$2&amp;"]"</f>
        <v>#REF!</v>
      </c>
      <c r="U53" s="496" t="e">
        <f>"Target Max Length to U4 
["&amp;$B$2&amp;"]"</f>
        <v>#REF!</v>
      </c>
      <c r="V53" s="498" t="e">
        <f>"Routed Too Short to U4 [" &amp;$B$2&amp;"]"</f>
        <v>#REF!</v>
      </c>
      <c r="W53" s="496" t="e">
        <f>"Routed Too Long to U4 [" &amp;$B$2&amp;"]"</f>
        <v>#REF!</v>
      </c>
      <c r="AD53" s="499" t="s">
        <v>494</v>
      </c>
      <c r="AE53" s="497" t="e">
        <f>"L7-2 Length Test (&lt;=" &amp; IF($B$2="mil",1,0.0254)*1250&amp;$B$2&amp;")"</f>
        <v>#REF!</v>
      </c>
      <c r="AG53" s="500" t="e">
        <f>"L8-4 Length Test (&lt;=" &amp; IF($B$2="mil",1,0.0254)*200&amp;$B$2&amp;") or (L7-2+L8-4&lt;= "&amp;IF($B$2="mil",1,0.0254)*1450&amp;$B$2&amp;")"</f>
        <v>#REF!</v>
      </c>
      <c r="AH53" s="497" t="e">
        <f>"Total Length to U4 (L0+L1+L2+L5+L6-2+L7-2+L8-4)Test
 ("&amp;IF($B$2="mil",1,0.0254)*500&amp;"-"&amp;IF($B$2="mil",1,0.0254)*6500&amp;IF($B$2="mil","mil","mm")&amp;")"</f>
        <v>#REF!</v>
      </c>
      <c r="AI53" s="497" t="e">
        <f>"Total Length to U4 (P1+L0+L1+L2+L5+L6-2+L7-2+L8-4) Test
 (&lt;="&amp;IF($B$2="mil",1,25.4)*7000&amp;IF($B$2="mil","mil","mm")&amp;")"</f>
        <v>#REF!</v>
      </c>
      <c r="AL53" s="4"/>
    </row>
    <row r="54" spans="14:38" x14ac:dyDescent="0.2">
      <c r="N54" s="140" t="s">
        <v>67</v>
      </c>
      <c r="O54" s="140"/>
      <c r="P54" s="143"/>
      <c r="Q54" s="143"/>
      <c r="R54" s="143"/>
      <c r="S54" s="502" t="s">
        <v>273</v>
      </c>
      <c r="T54" s="144" t="e">
        <f>MIN('DDR2 Clocks - 2L'!$S$7:$S$8)</f>
        <v>#REF!</v>
      </c>
      <c r="U54" s="144" t="e">
        <f>MAX('DDR2 Clocks - 2L'!$S$7:$S$8)</f>
        <v>#REF!</v>
      </c>
      <c r="V54" s="529"/>
      <c r="W54" s="486"/>
      <c r="AD54" s="140" t="s">
        <v>67</v>
      </c>
      <c r="AE54" s="484"/>
      <c r="AG54" s="483"/>
      <c r="AH54" s="483"/>
      <c r="AI54" s="484"/>
    </row>
    <row r="55" spans="14:38" x14ac:dyDescent="0.2">
      <c r="N55" s="134" t="s">
        <v>425</v>
      </c>
      <c r="O55" s="366"/>
      <c r="P55" s="157"/>
      <c r="Q55" s="157"/>
      <c r="R55" s="157"/>
      <c r="S55" s="157"/>
      <c r="T55" s="525"/>
      <c r="U55" s="526"/>
      <c r="V55" s="526"/>
      <c r="W55" s="525"/>
      <c r="AD55" s="134" t="s">
        <v>280</v>
      </c>
      <c r="AE55" s="244"/>
      <c r="AG55" s="155"/>
      <c r="AH55" s="155"/>
      <c r="AI55" s="478"/>
    </row>
    <row r="56" spans="14:38" x14ac:dyDescent="0.2">
      <c r="N56" s="161" t="s">
        <v>73</v>
      </c>
      <c r="O56" s="161"/>
      <c r="P56">
        <v>666.64</v>
      </c>
      <c r="Q56" s="551">
        <v>54.75</v>
      </c>
      <c r="R56" s="479">
        <f>SUM($E20:$G20,$M20,$P44,P56,$Q56)</f>
        <v>5072.6200000000008</v>
      </c>
      <c r="S56" s="479" t="e">
        <f>$R56+IF($B$2="mil",1,0.0254)*$C20</f>
        <v>#REF!</v>
      </c>
      <c r="T56" s="469" t="e">
        <f>$U$54 + IF($B$2="mil",1,0.0254)*DDR2Specs!$E$6</f>
        <v>#REF!</v>
      </c>
      <c r="U56" s="523" t="e">
        <f>$T$54 + IF($B$2="mil",1,0.0254)*DDR2Specs!$F$6</f>
        <v>#REF!</v>
      </c>
      <c r="V56" s="491" t="e">
        <f>IF($S56&lt;$T56,$T56-$S56,"Pass")</f>
        <v>#REF!</v>
      </c>
      <c r="W56" s="492" t="e">
        <f>IF($S56&gt;$U56,$S56-$U56,"Pass")</f>
        <v>#REF!</v>
      </c>
      <c r="AD56" s="503" t="s">
        <v>73</v>
      </c>
      <c r="AE56" s="504" t="e">
        <f>IF(P56&lt;=IF($B$2="mil",1,0.0254)*1250,"Pass",IF($B$2="mil",1,0.0254)*1250-P56)</f>
        <v>#REF!</v>
      </c>
      <c r="AG56" s="473" t="e">
        <f ca="1">CheckLength2(IF($B$2="mil",1,0.0254)*1450,P56,Q56,0)</f>
        <v>#NAME?</v>
      </c>
      <c r="AH56" s="473" t="e">
        <f>IF(AND(R56&gt;=IF($B$2="mil",1,0.0254)*500, $R56&lt;=IF($B$2="mil",1,0.0254)*6500),"Pass",IF($B$2="mil",1,0.0254)*6500-$R56)</f>
        <v>#REF!</v>
      </c>
      <c r="AI56" s="474" t="e">
        <f>IF(AND($S56&gt;=IF($B$2="mil",1,0.0254)*500, $S56&lt;=IF($B$2="mil",1,0.0254)*7000),"Pass",IF($B$2="mil",1,0.0254)*7000-$S56)</f>
        <v>#REF!</v>
      </c>
      <c r="AJ56" s="4" t="e">
        <f ca="1">IF(AND(V56="Pass",W56="Pass",AE56="Pass",AG56="Pass",AH56="Pass",AI56="Pass"),"Pass","Fail")</f>
        <v>#REF!</v>
      </c>
    </row>
    <row r="57" spans="14:38" x14ac:dyDescent="0.2">
      <c r="N57" s="161" t="s">
        <v>75</v>
      </c>
      <c r="O57" s="161"/>
      <c r="P57">
        <v>687.15</v>
      </c>
      <c r="Q57" s="551">
        <v>100.11</v>
      </c>
      <c r="R57" s="479">
        <f>SUM($E21:$G21,$M21,$P45,P57,$Q57)</f>
        <v>5054.6099999999997</v>
      </c>
      <c r="S57" s="479" t="e">
        <f>$R57+IF($B$2="mil",1,0.0254)*$C21</f>
        <v>#REF!</v>
      </c>
      <c r="T57" s="469" t="e">
        <f>$U$54 + IF($B$2="mil",1,0.0254)*DDR2Specs!$E$6</f>
        <v>#REF!</v>
      </c>
      <c r="U57" s="523" t="e">
        <f>$T$54 + IF($B$2="mil",1,0.0254)*DDR2Specs!$F$6</f>
        <v>#REF!</v>
      </c>
      <c r="V57" s="491" t="e">
        <f>IF($S57&lt;$T57,$T57-$S57,"Pass")</f>
        <v>#REF!</v>
      </c>
      <c r="W57" s="492" t="e">
        <f>IF($S57&gt;$U57,$S57-$U57,"Pass")</f>
        <v>#REF!</v>
      </c>
      <c r="AD57" s="503" t="s">
        <v>75</v>
      </c>
      <c r="AE57" s="504" t="e">
        <f>IF(P57&lt;=IF($B$2="mil",1,0.0254)*1250,"Pass",IF($B$2="mil",1,0.0254)*1250-P57)</f>
        <v>#REF!</v>
      </c>
      <c r="AG57" s="473" t="e">
        <f ca="1">CheckLength2(IF($B$2="mil",1,0.0254)*1450,P57,Q57,0)</f>
        <v>#NAME?</v>
      </c>
      <c r="AH57" s="473" t="e">
        <f>IF(AND(R57&gt;=IF($B$2="mil",1,0.0254)*500, $R57&lt;=IF($B$2="mil",1,0.0254)*6500),"Pass",IF($B$2="mil",1,0.0254)*6500-$R57)</f>
        <v>#REF!</v>
      </c>
      <c r="AI57" s="474" t="e">
        <f>IF(AND($S57&gt;=IF($B$2="mil",1,0.0254)*500, $S57&lt;=IF($B$2="mil",1,0.0254)*7000),"Pass",IF($B$2="mil",1,0.0254)*7000-$S57)</f>
        <v>#REF!</v>
      </c>
      <c r="AJ57" s="4" t="e">
        <f ca="1">IF(AND(V57="Pass",W57="Pass",AE57="Pass",AG57="Pass",AH57="Pass",AI57="Pass"),"Pass","Fail")</f>
        <v>#REF!</v>
      </c>
    </row>
    <row r="58" spans="14:38" x14ac:dyDescent="0.2">
      <c r="N58" s="161" t="s">
        <v>77</v>
      </c>
      <c r="O58" s="161"/>
      <c r="P58">
        <v>699.71</v>
      </c>
      <c r="Q58" s="551">
        <v>86.74</v>
      </c>
      <c r="R58" s="479">
        <f>SUM($E22:$G22,$M22,$P46,P58,$Q58)</f>
        <v>5008.05</v>
      </c>
      <c r="S58" s="479" t="e">
        <f>$R58+IF($B$2="mil",1,0.0254)*$C22</f>
        <v>#REF!</v>
      </c>
      <c r="T58" s="469" t="e">
        <f>$U$54 + IF($B$2="mil",1,0.0254)*DDR2Specs!$E$6</f>
        <v>#REF!</v>
      </c>
      <c r="U58" s="523" t="e">
        <f>$T$54 + IF($B$2="mil",1,0.0254)*DDR2Specs!$F$6</f>
        <v>#REF!</v>
      </c>
      <c r="V58" s="491" t="e">
        <f>IF($S58&lt;$T58,$T58-$S58,"Pass")</f>
        <v>#REF!</v>
      </c>
      <c r="W58" s="492" t="e">
        <f>IF($S58&gt;$U58,$S58-$U58,"Pass")</f>
        <v>#REF!</v>
      </c>
      <c r="AD58" s="503" t="s">
        <v>77</v>
      </c>
      <c r="AE58" s="504" t="e">
        <f>IF(P58&lt;=IF($B$2="mil",1,0.0254)*1250,"Pass",IF($B$2="mil",1,0.0254)*1250-P58)</f>
        <v>#REF!</v>
      </c>
      <c r="AG58" s="473" t="e">
        <f ca="1">CheckLength2(IF($B$2="mil",1,0.0254)*1450,P58,Q58,0)</f>
        <v>#NAME?</v>
      </c>
      <c r="AH58" s="473" t="e">
        <f>IF(AND(R58&gt;=IF($B$2="mil",1,0.0254)*500, $R58&lt;=IF($B$2="mil",1,0.0254)*6500),"Pass",IF($B$2="mil",1,0.0254)*6500-$R58)</f>
        <v>#REF!</v>
      </c>
      <c r="AI58" s="474" t="e">
        <f>IF(AND($S58&gt;=IF($B$2="mil",1,0.0254)*500, $S58&lt;=IF($B$2="mil",1,0.0254)*7000),"Pass",IF($B$2="mil",1,0.0254)*7000-$S58)</f>
        <v>#REF!</v>
      </c>
      <c r="AJ58" s="4" t="e">
        <f ca="1">IF(AND(V58="Pass",W58="Pass",AE58="Pass",AG58="Pass",AH58="Pass",AI58="Pass"),"Pass","Fail")</f>
        <v>#REF!</v>
      </c>
    </row>
    <row r="59" spans="14:38" ht="56.25" x14ac:dyDescent="0.2">
      <c r="N59" s="123" t="s">
        <v>494</v>
      </c>
      <c r="O59" s="123"/>
      <c r="P59" s="123" t="e">
        <f>"Trace L7-2 ["&amp;$B$2&amp;"]"</f>
        <v>#REF!</v>
      </c>
      <c r="Q59" s="123" t="e">
        <f>"Trace L8-4 ["&amp;$B$2&amp;"]"</f>
        <v>#REF!</v>
      </c>
      <c r="R59" s="495" t="s">
        <v>451</v>
      </c>
      <c r="S59" s="495" t="s">
        <v>452</v>
      </c>
      <c r="T59" s="497" t="e">
        <f>"Target Min Length to U8
["&amp;$B$2&amp;"]"</f>
        <v>#REF!</v>
      </c>
      <c r="U59" s="497" t="e">
        <f>"Target Max Length to U8 
["&amp;$B$2&amp;"]"</f>
        <v>#REF!</v>
      </c>
      <c r="V59" s="524" t="e">
        <f>"Routed Too Short to U8 [" &amp;$B$2&amp;"]"</f>
        <v>#REF!</v>
      </c>
      <c r="W59" s="497" t="e">
        <f>"Routed Too Long to U8 [" &amp;$B$2&amp;"]"</f>
        <v>#REF!</v>
      </c>
      <c r="AD59" s="495" t="s">
        <v>494</v>
      </c>
      <c r="AE59" s="497" t="e">
        <f>"L7-2 Length Test (&lt;=" &amp; IF($B$2="mil",1,0.0254)*1250&amp;$B$2&amp;")"</f>
        <v>#REF!</v>
      </c>
      <c r="AG59" s="500" t="e">
        <f>"L8-4 Length Test (&lt;=" &amp; IF($B$2="mil",1,0.0254)*200&amp;$B$2&amp;") or (L7-2+L8-4&lt;= "&amp;IF($B$2="mil",1,0.0254)*1450&amp;$B$2&amp;")"</f>
        <v>#REF!</v>
      </c>
      <c r="AH59" s="497" t="e">
        <f>"Total Length to U8 (L0+L1+L2+L5+L6-2+L7-2+L8-4)Test
 ("&amp;IF($B$2="mil",1,0.0254)*500&amp;"-"&amp;IF($B$2="mil",1,0.0254)*6500&amp;IF($B$2="mil","mil","mm")&amp;")"</f>
        <v>#REF!</v>
      </c>
      <c r="AI59" s="497" t="e">
        <f>"Total Length to U8 (P1+L0+L1+L2+L5+L6-2+L7-2+L8-4) Test
 (&lt;="&amp;IF($B$2="mil",1,25.4)*7000&amp;IF($B$2="mil","mil","mm")&amp;")"</f>
        <v>#REF!</v>
      </c>
      <c r="AL59" s="4"/>
    </row>
    <row r="60" spans="14:38" x14ac:dyDescent="0.2">
      <c r="N60" s="140" t="s">
        <v>67</v>
      </c>
      <c r="O60" s="140"/>
      <c r="P60" s="143"/>
      <c r="Q60" s="143"/>
      <c r="R60" s="345"/>
      <c r="S60" s="485" t="s">
        <v>335</v>
      </c>
      <c r="T60" s="487" t="e">
        <f>MIN('DDR2 Clocks - 4L'!$O$19:$O$20)</f>
        <v>#REF!</v>
      </c>
      <c r="U60" s="486" t="e">
        <f>MAX('DDR2 Clocks - 4L'!$O$19:$O$20)</f>
        <v>#REF!</v>
      </c>
      <c r="V60" s="487"/>
      <c r="W60" s="145"/>
      <c r="AD60" s="140" t="s">
        <v>67</v>
      </c>
      <c r="AE60" s="530"/>
      <c r="AG60" s="531"/>
      <c r="AH60" s="531"/>
      <c r="AI60" s="530"/>
    </row>
    <row r="61" spans="14:38" x14ac:dyDescent="0.2">
      <c r="N61" s="134" t="s">
        <v>426</v>
      </c>
      <c r="O61" s="366"/>
      <c r="P61" s="157"/>
      <c r="Q61" s="157"/>
      <c r="R61" s="157"/>
      <c r="S61" s="155"/>
      <c r="T61" s="155"/>
      <c r="U61" s="476"/>
      <c r="V61" s="476"/>
      <c r="W61" s="155"/>
      <c r="AD61" s="134" t="s">
        <v>280</v>
      </c>
      <c r="AE61" s="244"/>
      <c r="AG61" s="155"/>
      <c r="AH61" s="155"/>
      <c r="AI61" s="478"/>
    </row>
    <row r="62" spans="14:38" x14ac:dyDescent="0.2">
      <c r="N62" s="161" t="s">
        <v>74</v>
      </c>
      <c r="O62" s="161"/>
      <c r="P62">
        <v>700.07</v>
      </c>
      <c r="Q62" s="551">
        <v>85.77</v>
      </c>
      <c r="R62" s="479">
        <f>SUM($E26:$G26,$M26,$P50,P62,$Q62)</f>
        <v>4960.9900000000007</v>
      </c>
      <c r="S62" s="479" t="e">
        <f>$R62+IF($B$2="mil",1,0.0254)*$C26</f>
        <v>#REF!</v>
      </c>
      <c r="T62" s="469" t="e">
        <f>$U$60 + IF($B$2="mil",1,0.0254)*DDR2Specs!$E$6</f>
        <v>#REF!</v>
      </c>
      <c r="U62" s="523" t="e">
        <f>$T$60 + IF($B$2="mil",1,0.0254)*DDR2Specs!$F$6</f>
        <v>#REF!</v>
      </c>
      <c r="V62" s="491" t="e">
        <f>IF($S62&lt;$T62,$T62-$S62,"Pass")</f>
        <v>#REF!</v>
      </c>
      <c r="W62" s="492" t="e">
        <f>IF($S62&gt;$U62,$S62-$U62,"Pass")</f>
        <v>#REF!</v>
      </c>
      <c r="AD62" s="503" t="s">
        <v>74</v>
      </c>
      <c r="AE62" s="504" t="e">
        <f>IF(P62&lt;=IF($B$2="mil",1,0.0254)*1250,"Pass",IF($B$2="mil",1,0.0254)*1250-P62)</f>
        <v>#REF!</v>
      </c>
      <c r="AG62" s="473" t="e">
        <f ca="1">CheckLength2(IF($B$2="mil",1,0.0254)*1450,P62,Q62,0)</f>
        <v>#NAME?</v>
      </c>
      <c r="AH62" s="473" t="e">
        <f>IF(AND(R62&gt;=IF($B$2="mil",1,0.0254)*500, $R62&lt;=IF($B$2="mil",1,0.0254)*6500),"Pass",IF($B$2="mil",1,0.0254)*6500-$R62)</f>
        <v>#REF!</v>
      </c>
      <c r="AI62" s="474" t="e">
        <f>IF(AND($S62&gt;=IF($B$2="mil",1,0.0254)*500, $S62&lt;=IF($B$2="mil",1,0.0254)*7000),"Pass",IF($B$2="mil",1,0.0254)*7000-$S62)</f>
        <v>#REF!</v>
      </c>
      <c r="AJ62" s="4" t="e">
        <f ca="1">IF(AND(V62="Pass",W62="Pass",AE62="Pass",AG62="Pass",AH62="Pass",AI62="Pass"),"Pass","Fail")</f>
        <v>#REF!</v>
      </c>
    </row>
    <row r="63" spans="14:38" x14ac:dyDescent="0.2">
      <c r="N63" s="161" t="s">
        <v>76</v>
      </c>
      <c r="O63" s="161"/>
      <c r="P63">
        <v>681.38</v>
      </c>
      <c r="Q63" s="551">
        <v>128.21</v>
      </c>
      <c r="R63" s="479">
        <f>SUM($E27:$G27,$M27,$P51,P63,$Q63)</f>
        <v>5044.66</v>
      </c>
      <c r="S63" s="479" t="e">
        <f>$R63+IF($B$2="mil",1,0.0254)*$C27</f>
        <v>#REF!</v>
      </c>
      <c r="T63" s="469" t="e">
        <f>$U$60 + IF($B$2="mil",1,0.0254)*DDR2Specs!$E$6</f>
        <v>#REF!</v>
      </c>
      <c r="U63" s="523" t="e">
        <f>$T$60 + IF($B$2="mil",1,0.0254)*DDR2Specs!$F$6</f>
        <v>#REF!</v>
      </c>
      <c r="V63" s="491" t="e">
        <f>IF($S63&lt;$T63,$T63-$S63,"Pass")</f>
        <v>#REF!</v>
      </c>
      <c r="W63" s="492" t="e">
        <f>IF($S63&gt;$U63,$S63-$U63,"Pass")</f>
        <v>#REF!</v>
      </c>
      <c r="AD63" s="503" t="s">
        <v>76</v>
      </c>
      <c r="AE63" s="504" t="e">
        <f>IF(P63&lt;=IF($B$2="mil",1,0.0254)*1250,"Pass",IF($B$2="mil",1,0.0254)*1250-P63)</f>
        <v>#REF!</v>
      </c>
      <c r="AG63" s="473" t="e">
        <f ca="1">CheckLength2(IF($B$2="mil",1,0.0254)*1450,P63,Q63,0)</f>
        <v>#NAME?</v>
      </c>
      <c r="AH63" s="473" t="e">
        <f>IF(AND(R63&gt;=IF($B$2="mil",1,0.0254)*500, $R63&lt;=IF($B$2="mil",1,0.0254)*6500),"Pass",IF($B$2="mil",1,0.0254)*6500-$R63)</f>
        <v>#REF!</v>
      </c>
      <c r="AI63" s="474" t="e">
        <f>IF(AND($S63&gt;=IF($B$2="mil",1,0.0254)*500, $S63&lt;=IF($B$2="mil",1,0.0254)*7000),"Pass",IF($B$2="mil",1,0.0254)*7000-$S63)</f>
        <v>#REF!</v>
      </c>
      <c r="AJ63" s="4" t="e">
        <f ca="1">IF(AND(V63="Pass",W63="Pass",AE63="Pass",AG63="Pass",AH63="Pass",AI63="Pass"),"Pass","Fail")</f>
        <v>#REF!</v>
      </c>
    </row>
    <row r="64" spans="14:38" x14ac:dyDescent="0.2">
      <c r="N64" s="161" t="s">
        <v>78</v>
      </c>
      <c r="O64" s="161"/>
      <c r="P64">
        <v>674.07</v>
      </c>
      <c r="Q64" s="551">
        <v>53.24</v>
      </c>
      <c r="R64" s="479">
        <f>SUM($E28:$G28,$M28,$P52,P64,$Q64)</f>
        <v>4833.8599999999997</v>
      </c>
      <c r="S64" s="479" t="e">
        <f>$R64+IF($B$2="mil",1,0.0254)*$C28</f>
        <v>#REF!</v>
      </c>
      <c r="T64" s="469" t="e">
        <f>$U$60 + IF($B$2="mil",1,0.0254)*DDR2Specs!$E$6</f>
        <v>#REF!</v>
      </c>
      <c r="U64" s="523" t="e">
        <f>$T$60 + IF($B$2="mil",1,0.0254)*DDR2Specs!$F$6</f>
        <v>#REF!</v>
      </c>
      <c r="V64" s="491" t="e">
        <f>IF($S64&lt;$T64,$T64-$S64,"Pass")</f>
        <v>#REF!</v>
      </c>
      <c r="W64" s="492" t="e">
        <f>IF($S64&gt;$U64,$S64-$U64,"Pass")</f>
        <v>#REF!</v>
      </c>
      <c r="AD64" s="503" t="s">
        <v>78</v>
      </c>
      <c r="AE64" s="504" t="e">
        <f>IF(P64&lt;=IF($B$2="mil",1,0.0254)*1250,"Pass",IF($B$2="mil",1,0.0254)*1250-P64)</f>
        <v>#REF!</v>
      </c>
      <c r="AG64" s="473" t="e">
        <f ca="1">CheckLength2(IF($B$2="mil",1,0.0254)*1450,P64,Q64,0)</f>
        <v>#NAME?</v>
      </c>
      <c r="AH64" s="473" t="e">
        <f>IF(AND(R64&gt;=IF($B$2="mil",1,0.0254)*500, $R64&lt;=IF($B$2="mil",1,0.0254)*6500),"Pass",IF($B$2="mil",1,0.0254)*6500-$R64)</f>
        <v>#REF!</v>
      </c>
      <c r="AI64" s="474" t="e">
        <f>IF(AND($S64&gt;=IF($B$2="mil",1,0.0254)*500, $S64&lt;=IF($B$2="mil",1,0.0254)*7000),"Pass",IF($B$2="mil",1,0.0254)*7000-$S64)</f>
        <v>#REF!</v>
      </c>
      <c r="AJ64" s="4" t="e">
        <f ca="1">IF(AND(V64="Pass",W64="Pass",AE64="Pass",AG64="Pass",AH64="Pass",AI64="Pass"),"Pass","Fail")</f>
        <v>#REF!</v>
      </c>
    </row>
    <row r="69" spans="28:28" ht="18" x14ac:dyDescent="0.25">
      <c r="AB69" s="375"/>
    </row>
  </sheetData>
  <protectedRanges>
    <protectedRange sqref="P44:Q46 P50:Q52 P62:Q64 P56:Q58" name="DDR2_CONTROL_4L_2_1"/>
    <protectedRange sqref="L10:L11 L7:L8 L13:L14 D10:D11 D13:D14 M28:O29 P44 P28:Q28 M26:Q27 Q32:Q34 Q38:Q40 D7:D8 L20:Q22 D20:D22 D26:D29 L26:L29 E29:K29" name="DDR2Control_1"/>
    <protectedRange sqref="E7:K14" name="DDR2Control_1_1"/>
    <protectedRange sqref="E20:G22 I20:K22" name="DDR2Control_1_2"/>
    <protectedRange sqref="E26:G28 I26:K28" name="DDR2Control_1_3"/>
  </protectedRanges>
  <mergeCells count="2">
    <mergeCell ref="A1:E1"/>
    <mergeCell ref="F1:G1"/>
  </mergeCells>
  <phoneticPr fontId="4" type="noConversion"/>
  <conditionalFormatting sqref="A1 F1:AA1">
    <cfRule type="expression" dxfId="125" priority="5" stopIfTrue="1">
      <formula>$F$1 = "Fail"</formula>
    </cfRule>
    <cfRule type="expression" dxfId="124" priority="6" stopIfTrue="1">
      <formula>$F$1 = "Pass"</formula>
    </cfRule>
  </conditionalFormatting>
  <conditionalFormatting sqref="S7:T8 V7:AA8 S10:T11 V10:AA11 S13:T14 V13:AA14 V20:W22 Y20:AI22 V26:W28 AF26:AI28 Y26:AE29 V32:W34 AG32:AI34 V38:W40 AG38:AI40 V44:W46 AC44:AC46 AG44:AI46 V50:W52 AC50:AC52 AG50:AI52 V56:W58 AE56:AE58 AG56:AI58 V62:W64 AE62:AE64 AG62:AI64">
    <cfRule type="cellIs" priority="1" stopIfTrue="1" operator="equal">
      <formula>"Pass"</formula>
    </cfRule>
    <cfRule type="cellIs" dxfId="123" priority="2" stopIfTrue="1" operator="notEqual">
      <formula>"Pass"</formula>
    </cfRule>
  </conditionalFormatting>
  <conditionalFormatting sqref="U7:U8 U10:U11 U13:U14 X20:X22 X26:X29">
    <cfRule type="cellIs" dxfId="122" priority="3" stopIfTrue="1" operator="equal">
      <formula>"Pass"</formula>
    </cfRule>
    <cfRule type="cellIs" dxfId="121" priority="4" stopIfTrue="1" operator="notEqual">
      <formula>"Pass"</formula>
    </cfRule>
  </conditionalFormatting>
  <pageMargins left="0.75" right="0.75" top="1" bottom="1" header="0.5" footer="0.5"/>
  <pageSetup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Visio.Drawing.11" shapeId="22638" r:id="rId4">
          <objectPr defaultSize="0" autoPict="0" r:id="rId5">
            <anchor moveWithCells="1">
              <from>
                <xdr:col>0</xdr:col>
                <xdr:colOff>238125</xdr:colOff>
                <xdr:row>28</xdr:row>
                <xdr:rowOff>295275</xdr:rowOff>
              </from>
              <to>
                <xdr:col>10</xdr:col>
                <xdr:colOff>581025</xdr:colOff>
                <xdr:row>35</xdr:row>
                <xdr:rowOff>104775</xdr:rowOff>
              </to>
            </anchor>
          </objectPr>
        </oleObject>
      </mc:Choice>
      <mc:Fallback>
        <oleObject progId="Visio.Drawing.11" shapeId="22638" r:id="rId4"/>
      </mc:Fallback>
    </mc:AlternateContent>
    <mc:AlternateContent xmlns:mc="http://schemas.openxmlformats.org/markup-compatibility/2006">
      <mc:Choice Requires="x14">
        <oleObject progId="Visio.Drawing.11" shapeId="22639" r:id="rId6">
          <objectPr defaultSize="0" autoPict="0" r:id="rId7">
            <anchor moveWithCells="1">
              <from>
                <xdr:col>0</xdr:col>
                <xdr:colOff>219075</xdr:colOff>
                <xdr:row>37</xdr:row>
                <xdr:rowOff>9525</xdr:rowOff>
              </from>
              <to>
                <xdr:col>12</xdr:col>
                <xdr:colOff>876300</xdr:colOff>
                <xdr:row>56</xdr:row>
                <xdr:rowOff>57150</xdr:rowOff>
              </to>
            </anchor>
          </objectPr>
        </oleObject>
      </mc:Choice>
      <mc:Fallback>
        <oleObject progId="Visio.Drawing.11" shapeId="22639" r:id="rId6"/>
      </mc:Fallback>
    </mc:AlternateContent>
  </oleObject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2"/>
  <dimension ref="A1:BW71"/>
  <sheetViews>
    <sheetView topLeftCell="AW1" zoomScale="75" workbookViewId="0">
      <selection activeCell="AS27" sqref="AS27"/>
    </sheetView>
  </sheetViews>
  <sheetFormatPr defaultRowHeight="12.75" x14ac:dyDescent="0.2"/>
  <cols>
    <col min="1" max="1" width="15.5703125" customWidth="1"/>
    <col min="2" max="2" width="12.28515625" bestFit="1" customWidth="1"/>
    <col min="3" max="3" width="10" bestFit="1" customWidth="1"/>
    <col min="4" max="4" width="1" customWidth="1"/>
    <col min="5" max="5" width="11" bestFit="1" customWidth="1"/>
    <col min="6" max="6" width="10.5703125" bestFit="1" customWidth="1"/>
    <col min="7" max="7" width="11" bestFit="1" customWidth="1"/>
    <col min="8" max="8" width="10.85546875" hidden="1" customWidth="1"/>
    <col min="9" max="10" width="12.140625" bestFit="1" customWidth="1"/>
    <col min="11" max="11" width="10.85546875" bestFit="1" customWidth="1"/>
    <col min="12" max="13" width="12.28515625" bestFit="1" customWidth="1"/>
    <col min="14" max="14" width="13.5703125" customWidth="1"/>
    <col min="15" max="15" width="15" customWidth="1"/>
    <col min="16" max="16" width="14" customWidth="1"/>
    <col min="17" max="17" width="15.42578125" customWidth="1"/>
    <col min="18" max="18" width="1" customWidth="1"/>
    <col min="19" max="19" width="11.7109375" customWidth="1"/>
    <col min="20" max="20" width="1" customWidth="1"/>
    <col min="21" max="21" width="13.42578125" customWidth="1"/>
    <col min="22" max="22" width="0.85546875" customWidth="1"/>
    <col min="23" max="23" width="12.140625" customWidth="1"/>
    <col min="24" max="24" width="10.85546875" customWidth="1"/>
    <col min="25" max="25" width="1" customWidth="1"/>
    <col min="26" max="26" width="11.5703125" bestFit="1" customWidth="1"/>
    <col min="27" max="27" width="11.140625" customWidth="1"/>
    <col min="28" max="28" width="0.85546875" customWidth="1"/>
    <col min="29" max="30" width="21.28515625" customWidth="1"/>
    <col min="31" max="31" width="12.140625" bestFit="1" customWidth="1"/>
    <col min="32" max="32" width="10.85546875" bestFit="1" customWidth="1"/>
    <col min="33" max="33" width="1" customWidth="1"/>
    <col min="34" max="34" width="11.5703125" bestFit="1" customWidth="1"/>
    <col min="35" max="35" width="11" bestFit="1" customWidth="1"/>
    <col min="36" max="36" width="0.85546875" customWidth="1"/>
    <col min="37" max="38" width="21.28515625" customWidth="1"/>
    <col min="39" max="39" width="12.140625" bestFit="1" customWidth="1"/>
    <col min="40" max="40" width="13.140625" customWidth="1"/>
    <col min="41" max="41" width="1" customWidth="1"/>
    <col min="42" max="42" width="11.5703125" bestFit="1" customWidth="1"/>
    <col min="43" max="43" width="11" bestFit="1" customWidth="1"/>
    <col min="44" max="44" width="0.85546875" customWidth="1"/>
    <col min="45" max="45" width="13.28515625" bestFit="1" customWidth="1"/>
    <col min="46" max="46" width="13.85546875" bestFit="1" customWidth="1"/>
    <col min="47" max="47" width="13.42578125" bestFit="1" customWidth="1"/>
    <col min="48" max="48" width="11" bestFit="1" customWidth="1"/>
    <col min="49" max="49" width="11.7109375" bestFit="1" customWidth="1"/>
    <col min="50" max="50" width="11.7109375" hidden="1" customWidth="1"/>
    <col min="51" max="51" width="12.28515625" bestFit="1" customWidth="1"/>
    <col min="52" max="53" width="11.42578125" bestFit="1" customWidth="1"/>
    <col min="54" max="54" width="17.7109375" customWidth="1"/>
    <col min="55" max="56" width="11.7109375" customWidth="1"/>
    <col min="57" max="57" width="27.5703125" customWidth="1"/>
    <col min="58" max="58" width="16.85546875" customWidth="1"/>
    <col min="59" max="59" width="17" customWidth="1"/>
    <col min="60" max="60" width="15.5703125" hidden="1" customWidth="1"/>
    <col min="61" max="61" width="13.7109375" hidden="1" customWidth="1"/>
    <col min="62" max="62" width="18.28515625" bestFit="1" customWidth="1"/>
    <col min="63" max="63" width="16.7109375" customWidth="1"/>
    <col min="64" max="64" width="1" customWidth="1"/>
    <col min="65" max="65" width="16.85546875" customWidth="1"/>
    <col min="66" max="66" width="16.28515625" customWidth="1"/>
  </cols>
  <sheetData>
    <row r="1" spans="1:66" s="2" customFormat="1" ht="26.25" x14ac:dyDescent="0.2">
      <c r="A1" s="1001" t="s">
        <v>137</v>
      </c>
      <c r="B1" s="1003"/>
      <c r="C1" s="1003"/>
      <c r="D1" s="1003"/>
      <c r="E1" s="101" t="e">
        <f ca="1">IF(AND(BN7="Pass"),"Pass","Fail")</f>
        <v>#REF!</v>
      </c>
      <c r="F1" s="40"/>
      <c r="BL1" s="50"/>
    </row>
    <row r="2" spans="1:66" ht="18" x14ac:dyDescent="0.2">
      <c r="A2" s="81" t="s">
        <v>58</v>
      </c>
      <c r="B2" s="327" t="e">
        <f>'DDR2 Clocks - 2L'!B2</f>
        <v>#REF!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85"/>
      <c r="BI2" s="85"/>
      <c r="BJ2" s="85"/>
      <c r="BK2" s="85"/>
      <c r="BL2" s="85"/>
    </row>
    <row r="3" spans="1:66" s="41" customFormat="1" ht="87.75" customHeight="1" x14ac:dyDescent="0.2">
      <c r="A3" s="320" t="s">
        <v>494</v>
      </c>
      <c r="B3" s="86" t="s">
        <v>511</v>
      </c>
      <c r="C3" s="323" t="s">
        <v>512</v>
      </c>
      <c r="D3" s="88"/>
      <c r="E3" s="87" t="e">
        <f>"Escape       Length L0 ["&amp;$B$2&amp;"]"</f>
        <v>#REF!</v>
      </c>
      <c r="F3" s="87" t="e">
        <f>"Breakout Length L1  ["&amp;$B$2&amp;"]"</f>
        <v>#REF!</v>
      </c>
      <c r="G3" s="87" t="e">
        <f>"Main      Length L2  ["&amp;$B$2&amp;"]"</f>
        <v>#REF!</v>
      </c>
      <c r="H3" s="87" t="e">
        <f>"Breakin     Length S1  ["&amp;$B$2&amp;"]"</f>
        <v>#REF!</v>
      </c>
      <c r="I3" s="107" t="e">
        <f>"Stripline Route to Rs L3 ["&amp;$B$2&amp;"]"</f>
        <v>#REF!</v>
      </c>
      <c r="J3" s="107" t="e">
        <f>"Breakin to Rs L4 ["&amp;$B$2&amp;"]"</f>
        <v>#REF!</v>
      </c>
      <c r="K3" s="107" t="e">
        <f>"Rs length ["&amp;$B$2&amp;"]"</f>
        <v>#REF!</v>
      </c>
      <c r="L3" s="107" t="e">
        <f>"Breakout from Rs L5 ["&amp;$B$2&amp;"]"</f>
        <v>#REF!</v>
      </c>
      <c r="M3" s="107" t="e">
        <f>"Stripline between Rs and SDRAM L6 ["&amp;$B$2&amp;"]"</f>
        <v>#REF!</v>
      </c>
      <c r="N3" s="107" t="e">
        <f>"Stripline to SDRAM L7-1 ["&amp;$B$2&amp;"]"</f>
        <v>#REF!</v>
      </c>
      <c r="O3" s="107" t="e">
        <f>"Stripline to SDRAM L7-2 ["&amp;$B$2&amp;"]"</f>
        <v>#REF!</v>
      </c>
      <c r="P3" s="107" t="e">
        <f>"Breakin to SDRAM L8-1 ["&amp;$B$2&amp;"]"</f>
        <v>#REF!</v>
      </c>
      <c r="Q3" s="107" t="e">
        <f>"Breakin to SDRAM L8-2 ["&amp;$B$2&amp;"]"</f>
        <v>#REF!</v>
      </c>
      <c r="R3" s="107"/>
      <c r="S3" s="532" t="e">
        <f>"Total MB Length to SODIMM (L0+L1+L2+S1)  ["&amp;$B$2&amp;"]"</f>
        <v>#REF!</v>
      </c>
      <c r="T3" s="5"/>
      <c r="U3" s="5" t="e">
        <f>"Total Pad-to-SODIMM Connector Length (P0+L0+L1+L2+S1)  ["&amp;$B$2&amp;"]"</f>
        <v>#REF!</v>
      </c>
      <c r="V3" s="5"/>
      <c r="W3" s="5" t="e">
        <f>"Target Min Length to SODIMM
["&amp;$B$2&amp;"]"</f>
        <v>#REF!</v>
      </c>
      <c r="X3" s="5" t="e">
        <f>"Target Max Length to SODIMM 
["&amp;$B$2&amp;"]"</f>
        <v>#REF!</v>
      </c>
      <c r="Y3" s="5"/>
      <c r="Z3" s="5" t="e">
        <f>"Length to SODIMM Routed Too Short  ["&amp;$B$2&amp;"]"</f>
        <v>#REF!</v>
      </c>
      <c r="AA3" s="5" t="e">
        <f>"Length to SODIMM Routed Too Long  ["&amp;$B$2&amp;"]"</f>
        <v>#REF!</v>
      </c>
      <c r="AB3" s="5"/>
      <c r="AC3" s="532" t="e">
        <f>"Total MB Length to SDRAM (L0+L1+L2+L3+L4+Rs+L5+L6+L7-1+L8-1)  ["&amp;$B$2&amp;"]"</f>
        <v>#REF!</v>
      </c>
      <c r="AD3" s="5" t="e">
        <f>"Total Pad-to-SDRAM Pin Length (P0+L0+L1+L2+L3+L4+Rs+L5+L6+L7-1+L8-1)  ["&amp;$B$2&amp;"]"</f>
        <v>#REF!</v>
      </c>
      <c r="AE3" s="5" t="e">
        <f>"Target Min Length to SDRAM (U1-U4)
["&amp;$B$2&amp;"]"</f>
        <v>#REF!</v>
      </c>
      <c r="AF3" s="5" t="e">
        <f>"Target Max Length to SDRAM (U1-U4) 
["&amp;$B$2&amp;"]"</f>
        <v>#REF!</v>
      </c>
      <c r="AG3" s="5"/>
      <c r="AH3" s="5" t="e">
        <f>"Length to SDRAM (U1-U4) Routed Too Short  ["&amp;$B$2&amp;"]"</f>
        <v>#REF!</v>
      </c>
      <c r="AI3" s="5" t="e">
        <f>"Length to SDRAM (U1-U4) Routed Too Long  ["&amp;$B$2&amp;"]"</f>
        <v>#REF!</v>
      </c>
      <c r="AJ3" s="5"/>
      <c r="AK3" s="532" t="e">
        <f>"Total MB Length to SDRAM (L0+L1+L2+L3+L4+Rs+L5+L6+L7-2+L8-2)  ["&amp;$B$2&amp;"]"</f>
        <v>#REF!</v>
      </c>
      <c r="AL3" s="5" t="e">
        <f>"Total Pad-to-SDRAM Pin Length (P0+L0+L1+L2+L3+L4+Rs+L5+L6+L7-2+L8-2)  ["&amp;$B$2&amp;"]"</f>
        <v>#REF!</v>
      </c>
      <c r="AM3" s="5" t="e">
        <f>"Target Min Length to SDRAM (U5-U8)
["&amp;$B$2&amp;"]"</f>
        <v>#REF!</v>
      </c>
      <c r="AN3" s="5" t="e">
        <f>"Target Max Length to SDRAM (U5-U8) 
["&amp;$B$2&amp;"]"</f>
        <v>#REF!</v>
      </c>
      <c r="AO3" s="5"/>
      <c r="AP3" s="5" t="e">
        <f>"Length to SDRAM (U5-U8) Routed Too Short  ["&amp;$B$2&amp;"]"</f>
        <v>#REF!</v>
      </c>
      <c r="AQ3" s="5" t="e">
        <f>"Length to SDRAM (U5-U8) Routed Too Long  ["&amp;$B$2&amp;"]"</f>
        <v>#REF!</v>
      </c>
      <c r="AR3" s="5"/>
      <c r="AS3" s="5" t="e">
        <f>"DQS-DQS# SODIMM Length Test
(&lt;="&amp;IF($B$2="mil",1,0.0254)*5&amp;$B$2&amp;")"</f>
        <v>#REF!</v>
      </c>
      <c r="AT3" s="5" t="e">
        <f>"DQS-DQS# SDRAM (U1-U4) Length Test
(&lt;="&amp;IF($B$2="mil",1,0.0254)*5&amp;$B$2&amp;")"</f>
        <v>#REF!</v>
      </c>
      <c r="AU3" s="5" t="e">
        <f>"DQS-DQS# SDRAM (U5-U8) Length Test
(&lt;="&amp;IF($B$2="mil",1,0.0254)*10&amp;$B$2&amp;")"</f>
        <v>#REF!</v>
      </c>
      <c r="AV3" s="5" t="e">
        <f>"L0 Length Test (&lt;="&amp;IF($B$2="mil",1,0.0254)*50&amp;$B$2&amp;")"</f>
        <v>#REF!</v>
      </c>
      <c r="AW3" s="5" t="e">
        <f>"L1 Length Test (&lt;="&amp;IF($B$2="mil",1,0.0254)*500&amp;$B$2&amp;")"</f>
        <v>#REF!</v>
      </c>
      <c r="AX3" s="5" t="e">
        <f>"S1 Length test (&lt;="&amp;IF($B$2="mil",1,0.0254)*0&amp;$B$2&amp;")"</f>
        <v>#REF!</v>
      </c>
      <c r="AY3" s="5" t="e">
        <f>"L3 Length Test (&lt;="&amp;IF($B$2="mil",1,0.0254)*750&amp;$B$2&amp;" or L3 + L4 &lt;= "&amp;IF($B$2="mil",1,0.0254)*875&amp;$B$2&amp;")"</f>
        <v>#REF!</v>
      </c>
      <c r="AZ3" s="5" t="e">
        <f>"L4 Length Test (&lt;="&amp;IF($B$2="mil",1,0.0254)*125&amp;$B$2&amp;")"</f>
        <v>#REF!</v>
      </c>
      <c r="BA3" s="5" t="e">
        <f>"L5 Length Test (&lt;="&amp;IF($B$2="mil",1,0.0254)*125&amp;$B$2&amp;")"</f>
        <v>#REF!</v>
      </c>
      <c r="BB3" s="5" t="e">
        <f>"L6 Length Test (&lt;="&amp;IF($B$2="mil",1,0.0254)*1200&amp;$B$2&amp;" or L5+L6&lt;="&amp;IF($B$2="mil",1,0.0254)*1275&amp;$B$2&amp;")"</f>
        <v>#REF!</v>
      </c>
      <c r="BC3" s="5" t="e">
        <f>"L7-1 Length Test (&lt;="&amp;IF($B$2="mil",1,0.0254)*150&amp;$B$2&amp;")"</f>
        <v>#REF!</v>
      </c>
      <c r="BD3" s="5" t="e">
        <f>"L7-2 Length Test (&lt;="&amp;IF($B$2="mil",1,0.0254)*150&amp;$B$2&amp;")"</f>
        <v>#REF!</v>
      </c>
      <c r="BE3" s="5" t="e">
        <f>"L7 Matching Test (Maximum L7 - Minimum L7 &lt;="&amp;IF($B$2="mil",1,0.0254)*50&amp;IF($B$2="mil","mil","mm")&amp;")"</f>
        <v>#REF!</v>
      </c>
      <c r="BF3" s="5" t="e">
        <f>"L8-1 Length Test (&lt;="&amp;IF($B$2="mil",1,0.0254)*150&amp;$B$2&amp;") or (L7-1+L8-1 &lt;= "&amp;IF($B$2="mil",1,0.0254)*200&amp;$B$2&amp;")"</f>
        <v>#REF!</v>
      </c>
      <c r="BG3" s="5" t="e">
        <f>"L8-2 Length Test (&lt;="&amp;IF($B$2="mil",1,0.0254)*150&amp;$B$2&amp;") or (L7-2+L8-2 &lt;= "&amp;IF($B$2="mil",1,0.0254)*200&amp;$B$2&amp;")"</f>
        <v>#REF!</v>
      </c>
      <c r="BH3" s="5" t="e">
        <f>"Total MB Length to SODIMM (L0+L1+L2+S1) Test
 "&amp;IF($B$2="mil","(500-4000mil)","(12.7-114.3mm)")</f>
        <v>#REF!</v>
      </c>
      <c r="BI3" s="5" t="e">
        <f>"Total Length to SODIMM (P0+L0+L1+L2+S1) Test
 (&lt;="&amp; IF($B$2="mil","4750mil","127mm")&amp;")"</f>
        <v>#REF!</v>
      </c>
      <c r="BJ3" s="5" t="e">
        <f>"Total MB Length to SDRAM (L0+L1+L2+L3+L4+Rs+L5+L6+L7+L8) Test
 "&amp;IF($B$2="mil","(500-5500mil)","(12.7-114.3mm)")</f>
        <v>#REF!</v>
      </c>
      <c r="BK3" s="5" t="e">
        <f>"Total Length to SDRAM (P0+L0+L1+L2+L3+L4+Rs+L5+L6+L7+L8) Test
 (&lt;="&amp; IF($B$2="mil","6000mil","127mm")&amp;")"</f>
        <v>#REF!</v>
      </c>
      <c r="BL3" s="5"/>
    </row>
    <row r="4" spans="1:66" s="2" customFormat="1" x14ac:dyDescent="0.2">
      <c r="A4" s="94" t="s">
        <v>297</v>
      </c>
      <c r="B4" s="325"/>
      <c r="C4" s="90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7"/>
      <c r="T4" s="8"/>
      <c r="U4" s="42"/>
      <c r="V4" s="8"/>
      <c r="W4" s="8"/>
      <c r="X4" s="8"/>
      <c r="Y4" s="8"/>
      <c r="Z4" s="8"/>
      <c r="AA4" s="8"/>
      <c r="AB4" s="8"/>
      <c r="AC4" s="7"/>
      <c r="AD4" s="42"/>
      <c r="AE4" s="8"/>
      <c r="AF4" s="13"/>
      <c r="AG4" s="8"/>
      <c r="AH4" s="13"/>
      <c r="AI4" s="13"/>
      <c r="AJ4" s="8"/>
      <c r="AK4" s="7"/>
      <c r="AL4" s="42"/>
      <c r="AM4" s="8"/>
      <c r="AN4" s="13"/>
      <c r="AO4" s="8"/>
      <c r="AP4" s="13"/>
      <c r="AQ4" s="13"/>
      <c r="AR4" s="8"/>
      <c r="AS4" s="13"/>
      <c r="AT4" s="13"/>
      <c r="AU4" s="13"/>
      <c r="AV4" s="13"/>
      <c r="AW4" s="13"/>
      <c r="AX4" s="13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10"/>
    </row>
    <row r="5" spans="1:66" s="2" customFormat="1" x14ac:dyDescent="0.2">
      <c r="A5" s="321" t="s">
        <v>72</v>
      </c>
      <c r="B5" s="108"/>
      <c r="C5" s="324"/>
      <c r="D5" s="44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67"/>
      <c r="T5" s="44"/>
      <c r="U5" s="54"/>
      <c r="V5" s="485" t="s">
        <v>282</v>
      </c>
      <c r="W5" s="145" t="e">
        <f>MIN('DDR2 Clocks - 4L'!$O$22:$O$25)</f>
        <v>#REF!</v>
      </c>
      <c r="X5" s="486" t="e">
        <f>MAX('DDR2 Clocks - 4L'!$O$22:$O$25)</f>
        <v>#REF!</v>
      </c>
      <c r="Y5" s="44"/>
      <c r="Z5" s="54"/>
      <c r="AA5" s="54"/>
      <c r="AB5" s="485"/>
      <c r="AC5" s="67"/>
      <c r="AD5" s="485" t="s">
        <v>272</v>
      </c>
      <c r="AE5" s="487" t="e">
        <f>MIN('DDR2 Clocks - 4L'!$O$5:$O$6)</f>
        <v>#REF!</v>
      </c>
      <c r="AF5" s="486" t="e">
        <f>MAX('DDR2 Clocks - 4L'!$O$5:$O$6)</f>
        <v>#REF!</v>
      </c>
      <c r="AG5" s="54"/>
      <c r="AH5" s="54"/>
      <c r="AI5" s="54"/>
      <c r="AJ5" s="485"/>
      <c r="AK5" s="67"/>
      <c r="AL5" s="485" t="s">
        <v>332</v>
      </c>
      <c r="AM5" s="487" t="e">
        <f>MIN('DDR2 Clocks - 4L'!$O$7:$O$8)</f>
        <v>#REF!</v>
      </c>
      <c r="AN5" s="486" t="e">
        <f>MAX('DDR2 Clocks - 4L'!$O$7:$O$8)</f>
        <v>#REF!</v>
      </c>
      <c r="AO5" s="54"/>
      <c r="AP5" s="54"/>
      <c r="AQ5" s="54"/>
      <c r="AR5" s="485"/>
      <c r="AS5" s="54"/>
      <c r="AT5" s="54"/>
      <c r="AU5" s="54"/>
      <c r="AV5" s="54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8"/>
    </row>
    <row r="6" spans="1:66" s="2" customFormat="1" x14ac:dyDescent="0.2">
      <c r="A6" s="94" t="s">
        <v>298</v>
      </c>
      <c r="B6" s="326"/>
      <c r="C6" s="104"/>
      <c r="D6" s="51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55"/>
      <c r="Y6" s="45"/>
      <c r="Z6" s="55"/>
      <c r="AA6" s="55"/>
      <c r="AB6" s="55"/>
      <c r="AC6" s="45"/>
      <c r="AD6" s="45"/>
      <c r="AE6" s="55"/>
      <c r="AF6" s="56"/>
      <c r="AG6" s="55"/>
      <c r="AH6" s="45"/>
      <c r="AI6" s="45"/>
      <c r="AJ6" s="55"/>
      <c r="AK6" s="45"/>
      <c r="AL6" s="45"/>
      <c r="AM6" s="55"/>
      <c r="AN6" s="56"/>
      <c r="AO6" s="55"/>
      <c r="AP6" s="45"/>
      <c r="AQ6" s="45"/>
      <c r="AR6" s="55"/>
      <c r="AS6" s="45"/>
      <c r="AT6" s="45"/>
      <c r="AU6" s="45"/>
      <c r="AV6" s="4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7"/>
    </row>
    <row r="7" spans="1:66" s="2" customFormat="1" x14ac:dyDescent="0.2">
      <c r="A7" s="578" t="s">
        <v>138</v>
      </c>
      <c r="B7" s="573" t="s">
        <v>497</v>
      </c>
      <c r="C7" s="562">
        <v>373.89763779527561</v>
      </c>
      <c r="D7" s="16"/>
      <c r="E7" s="17">
        <v>22.63</v>
      </c>
      <c r="F7" s="17">
        <v>0</v>
      </c>
      <c r="G7">
        <v>2000</v>
      </c>
      <c r="H7" s="271">
        <v>0</v>
      </c>
      <c r="I7" s="17">
        <v>700</v>
      </c>
      <c r="J7" s="271">
        <v>100</v>
      </c>
      <c r="K7" s="17">
        <v>40</v>
      </c>
      <c r="L7" s="271">
        <v>85</v>
      </c>
      <c r="M7" s="271">
        <v>890</v>
      </c>
      <c r="N7" s="271">
        <v>0</v>
      </c>
      <c r="O7" s="271">
        <v>0</v>
      </c>
      <c r="P7" s="271">
        <v>91.72</v>
      </c>
      <c r="Q7" s="271">
        <v>86.82</v>
      </c>
      <c r="R7" s="58"/>
      <c r="S7" s="441">
        <f xml:space="preserve"> E7+F7+G7+H7</f>
        <v>2022.63</v>
      </c>
      <c r="T7" s="533"/>
      <c r="U7" s="441" t="e">
        <f>S7+IF($B$2="mil",1,0.0254)*C7</f>
        <v>#REF!</v>
      </c>
      <c r="V7" s="533"/>
      <c r="W7" s="441" t="e">
        <f>MAX(W$5:X$5)+IF($B$2="mil",1,0.0254)*DDR2Specs!$B$2</f>
        <v>#REF!</v>
      </c>
      <c r="X7" s="441" t="e">
        <f>MIN(W$5:X$5)+IF($B$2="mil",1,0.0254)*DDR2Specs!$C$2</f>
        <v>#REF!</v>
      </c>
      <c r="Y7" s="533"/>
      <c r="Z7" s="534" t="e">
        <f>IF($U7&lt;$W7,$W7-$U7,"Pass")</f>
        <v>#REF!</v>
      </c>
      <c r="AA7" s="447" t="e">
        <f>IF($U7&gt;$X7,$U7-$X7,"Pass")</f>
        <v>#REF!</v>
      </c>
      <c r="AB7" s="18"/>
      <c r="AC7" s="441">
        <f>SUM(E7:G7,I7:N7,P7)</f>
        <v>3929.35</v>
      </c>
      <c r="AD7" s="441" t="e">
        <f>AC7+IF($B$2="mil",1,0.0254)*$C7</f>
        <v>#REF!</v>
      </c>
      <c r="AE7" s="441" t="e">
        <f>MAX(AE$5:AF$5)+IF($B$2="mil",1,0.0254)*DDR2Specs!$E$2</f>
        <v>#REF!</v>
      </c>
      <c r="AF7" s="441" t="e">
        <f>MIN(AE$5:AF$5)+IF($B$2="mil",1,0.0254)*DDR2Specs!$F$2</f>
        <v>#REF!</v>
      </c>
      <c r="AG7" s="18"/>
      <c r="AH7" s="534" t="e">
        <f>IF($AD7&lt;$AE7,$AE7-$AD7,"Pass")</f>
        <v>#REF!</v>
      </c>
      <c r="AI7" s="447" t="e">
        <f>IF($AD7&gt;$AF7,$AD7-$AF7,"Pass")</f>
        <v>#REF!</v>
      </c>
      <c r="AJ7" s="18"/>
      <c r="AK7" s="441">
        <f>SUM(E7:G7,I7:M7,O7,Q7)</f>
        <v>3924.4500000000003</v>
      </c>
      <c r="AL7" s="441" t="e">
        <f>AK7+IF($B$2="mil",1,0.0254)*$C7</f>
        <v>#REF!</v>
      </c>
      <c r="AM7" s="441" t="e">
        <f>MAX(AM$5:AN$5)+IF($B$2="mil",1,0.0254)*DDR2Specs!$E$2</f>
        <v>#REF!</v>
      </c>
      <c r="AN7" s="441" t="e">
        <f>MIN(AM$5:AN$5)+IF($B$2="mil",1,0.0254)*DDR2Specs!$F$2</f>
        <v>#REF!</v>
      </c>
      <c r="AO7" s="18"/>
      <c r="AP7" s="534" t="e">
        <f>IF($AL7&lt;$AM7,$AM7-$AL7,"Pass")</f>
        <v>#REF!</v>
      </c>
      <c r="AQ7" s="447" t="e">
        <f>IF($AL7&gt;$AN7,$AL7-$AN7,"Pass")</f>
        <v>#REF!</v>
      </c>
      <c r="AR7" s="18"/>
      <c r="AS7" s="447" t="e">
        <f>IF((ABS($U7-$U8)&lt;=IF($B$2="mil",1,0.0254)*5),"Pass",ABS($U7-$U8))</f>
        <v>#REF!</v>
      </c>
      <c r="AT7" s="447" t="e">
        <f>IF((ABS($AD7-$AD8)&lt;=IF($B$2="mil",1,0.0254)*5),"Pass",ABS($AD7-$AD8))</f>
        <v>#REF!</v>
      </c>
      <c r="AU7" s="447" t="e">
        <f>IF((ABS($AL7-$AL8)&lt;=IF($B$2="mil",1,0.0254)*10),"Pass",ABS($AL7-$AL8))</f>
        <v>#REF!</v>
      </c>
      <c r="AV7" s="447" t="e">
        <f>IF($E7&lt;=IF($B$2="mil",1,0.0254)*50,"Pass",IF($B$2="mil",1,0.0254)*50-$E7)</f>
        <v>#REF!</v>
      </c>
      <c r="AW7" s="447" t="e">
        <f>IF($F7&lt;=IF($B$2="mil",1,0.0254)*500,"Pass",IF($B$2="mil",1,0.0254)*500-$F7)</f>
        <v>#REF!</v>
      </c>
      <c r="AX7" s="447" t="e">
        <f>IF($H7&lt;=IF($B$2="mil",1,0.0254)*0,"Pass",IF($B$2="mil",1,0.0254)*0-$H7)</f>
        <v>#REF!</v>
      </c>
      <c r="AY7" s="447" t="e">
        <f ca="1">CheckLength(IF($B$2="mil",1,0.0254)*750, IF($B$2="mil",1,0.0254)*125-J7, 0, I7,J7,0)</f>
        <v>#NAME?</v>
      </c>
      <c r="AZ7" s="447" t="e">
        <f>IF($J7&lt;=IF($B$2="mil",1,0.0254)*125,"Pass",IF($B$2="mil",1,0.0254)*125-$J7)</f>
        <v>#REF!</v>
      </c>
      <c r="BA7" s="447" t="e">
        <f>IF($L7&lt;=IF($B$2="mil",1,0.0254)*125,"Pass",IF($B$2="mil",1,0.0254)*125-$L7)</f>
        <v>#REF!</v>
      </c>
      <c r="BB7" s="447" t="e">
        <f>IF(($L7+$M7)&lt;=IF($B$2="mil",1,0.0254)*1275,"Pass",IF($B$2="mil",1,0.0254)*1275-($L7+M7))</f>
        <v>#REF!</v>
      </c>
      <c r="BC7" s="447" t="e">
        <f>IF($N7&lt;=IF($B$2="mil",1,0.0254)*150,"Pass",IF($B$2="mil",1,0.0254)*150-$N7)</f>
        <v>#REF!</v>
      </c>
      <c r="BD7" s="447" t="e">
        <f>IF($O7&lt;=IF($B$2="mil",1,0.0254)*150,"Pass",IF($B$2="mil",1,0.0254)*150-$O7)</f>
        <v>#REF!</v>
      </c>
      <c r="BE7" s="445" t="e">
        <f>IF(MAX(N7:O7)-MIN(N7:O7)&lt;=IF($B$2="mil",1,0.0254)*50,"Pass",MAX(N7:O7)-MIN(N7:O7)-IF($B$2="mil",1,0.0254)*50)</f>
        <v>#REF!</v>
      </c>
      <c r="BF7" s="447" t="e">
        <f ca="1">CheckLength2(IF($B$2="mil",1,0.0254)*200,$N7,P7,0)</f>
        <v>#NAME?</v>
      </c>
      <c r="BG7" s="447" t="e">
        <f ca="1">CheckLength2(IF($B$2="mil",1,0.0254)*200,$O7,Q7,0)</f>
        <v>#NAME?</v>
      </c>
      <c r="BH7" s="447" t="e">
        <f>IF(AND($S7&gt;=IF($B$2="mil",1,0.0254)*500, $S7&lt;=IF($B$2="mil",1,0.0254)*4000),"Pass",IF($B$2="mil",1,0.0254)*4000-$S7)</f>
        <v>#REF!</v>
      </c>
      <c r="BI7" s="447" t="e">
        <f>IF(AND($U7&gt;=IF($B$2="mil",1,0.0254)*500, $U7&lt;=IF($B$2="mil",1,0.0254)*4750),"Pass",IF($B$2="mil",1,0.0254)*4750-$U7)</f>
        <v>#REF!</v>
      </c>
      <c r="BJ7" s="447" t="e">
        <f>IF(AND($AC7&gt;=IF($B$2="mil",1,0.0254)*500, $AC7&lt;=IF($B$2="mil",1,0.0254)*5500),"Pass",IF($B$2="mil",1,0.0254)*5500-$AC7)</f>
        <v>#REF!</v>
      </c>
      <c r="BK7" s="447" t="e">
        <f>IF(AND($AD7&gt;=IF($B$2="mil",1,0.0254)*500, $AD7&lt;=IF($B$2="mil",1,0.0254)*6000),"Pass",IF($B$2="mil",1,0.0254)*6000-$AD7)</f>
        <v>#REF!</v>
      </c>
      <c r="BL7" s="18"/>
      <c r="BM7" s="2" t="e">
        <f ca="1">IF(AND(AV7="Pass",BI7="Pass",AX7="Pass",AW7="Pass",BH7="Pass",Z7="Pass",AA7="Pass",BG7="Pass",BB7="Pass",BC7="Pass",BD7="Pass",BE7="Pass",BF7="Pass",BA7="Pass",AZ7="Pass",AY7="Pass",AP7="Pass",AQ7="Pass",AS7="Pass",AT7="Pass",AU7="Pass",BJ7="Pass",BK7="Pass",AH7="Pass",AI7="Pass"),"Pass","Fail")</f>
        <v>#REF!</v>
      </c>
      <c r="BN7" s="2" t="e">
        <f ca="1">IF(AND(BM7="Pass",BM8="Pass",BM12="Pass",BM13="Pass",BM17="Pass",BM18="Pass",BM22="Pass",BM23="Pass",BM27="Pass",BM28="Pass",BM32="Pass",BM33="Pass",BM37="Pass",BM38="Pass",BM42="Pass",BM43="Pass"),"Pass","Fail")</f>
        <v>#REF!</v>
      </c>
    </row>
    <row r="8" spans="1:66" s="2" customFormat="1" x14ac:dyDescent="0.2">
      <c r="A8" s="578" t="s">
        <v>139</v>
      </c>
      <c r="B8" s="573" t="s">
        <v>504</v>
      </c>
      <c r="C8" s="562">
        <v>373.93700787401571</v>
      </c>
      <c r="D8" s="16"/>
      <c r="E8" s="17">
        <v>22.63</v>
      </c>
      <c r="F8" s="17">
        <v>0</v>
      </c>
      <c r="G8">
        <v>2000</v>
      </c>
      <c r="H8" s="271">
        <v>0</v>
      </c>
      <c r="I8" s="17">
        <v>700</v>
      </c>
      <c r="J8" s="271">
        <v>85.78</v>
      </c>
      <c r="K8" s="17">
        <v>40</v>
      </c>
      <c r="L8" s="271">
        <v>85.78</v>
      </c>
      <c r="M8" s="271">
        <v>880</v>
      </c>
      <c r="N8" s="271">
        <v>0</v>
      </c>
      <c r="O8" s="271">
        <v>0</v>
      </c>
      <c r="P8" s="271">
        <v>113.98</v>
      </c>
      <c r="Q8" s="271">
        <v>109.97</v>
      </c>
      <c r="R8" s="58"/>
      <c r="S8" s="441">
        <f xml:space="preserve"> E8+F8+G8+H8</f>
        <v>2022.63</v>
      </c>
      <c r="T8" s="533"/>
      <c r="U8" s="441" t="e">
        <f>S8+IF($B$2="mil",1,0.0254)*C8</f>
        <v>#REF!</v>
      </c>
      <c r="V8" s="533"/>
      <c r="W8" s="441" t="e">
        <f>MAX(W$5:X$5)+IF($B$2="mil",1,0.0254)*DDR2Specs!$B$2</f>
        <v>#REF!</v>
      </c>
      <c r="X8" s="441" t="e">
        <f>MIN(W$5:X$5)+IF($B$2="mil",1,0.0254)*DDR2Specs!$C$2</f>
        <v>#REF!</v>
      </c>
      <c r="Y8" s="533"/>
      <c r="Z8" s="534" t="e">
        <f>IF($U8&lt;$W8,$W8-$U8,"Pass")</f>
        <v>#REF!</v>
      </c>
      <c r="AA8" s="447" t="e">
        <f>IF($U8&gt;$X8,$U8-$X8,"Pass")</f>
        <v>#REF!</v>
      </c>
      <c r="AB8" s="18"/>
      <c r="AC8" s="441">
        <f>SUM(E8:G8,I8:N8,P8)</f>
        <v>3928.1700000000005</v>
      </c>
      <c r="AD8" s="441" t="e">
        <f>AC8+IF($B$2="mil",1,0.0254)*$C8</f>
        <v>#REF!</v>
      </c>
      <c r="AE8" s="441" t="e">
        <f>MAX(AE$5:AF$5)+IF($B$2="mil",1,0.0254)*DDR2Specs!$E$2</f>
        <v>#REF!</v>
      </c>
      <c r="AF8" s="441" t="e">
        <f>MIN(AE$5:AF$5)+IF($B$2="mil",1,0.0254)*DDR2Specs!$F$2</f>
        <v>#REF!</v>
      </c>
      <c r="AG8" s="18"/>
      <c r="AH8" s="534" t="e">
        <f>IF($AD8&lt;$AE8,$AE8-$AD8,"Pass")</f>
        <v>#REF!</v>
      </c>
      <c r="AI8" s="447" t="e">
        <f>IF($AD8&gt;$AF8,$AD8-$AF8,"Pass")</f>
        <v>#REF!</v>
      </c>
      <c r="AJ8" s="18"/>
      <c r="AK8" s="441">
        <f>SUM(E8:G8,I8:M8,O8,Q8)</f>
        <v>3924.1600000000003</v>
      </c>
      <c r="AL8" s="441" t="e">
        <f>AK8+IF($B$2="mil",1,0.0254)*$C8</f>
        <v>#REF!</v>
      </c>
      <c r="AM8" s="441" t="e">
        <f>MAX(AM$5:AN$5)+IF($B$2="mil",1,0.0254)*DDR2Specs!$E$2</f>
        <v>#REF!</v>
      </c>
      <c r="AN8" s="441" t="e">
        <f>MIN(AM$5:AN$5)+IF($B$2="mil",1,0.0254)*DDR2Specs!$F$2</f>
        <v>#REF!</v>
      </c>
      <c r="AO8" s="18"/>
      <c r="AP8" s="534" t="e">
        <f>IF($AL8&lt;$AM8,$AM8-$AL8,"Pass")</f>
        <v>#REF!</v>
      </c>
      <c r="AQ8" s="447" t="e">
        <f>IF($AL8&gt;$AN8,$AL8-$AN8,"Pass")</f>
        <v>#REF!</v>
      </c>
      <c r="AR8" s="18"/>
      <c r="AS8" s="447" t="e">
        <f>IF((ABS($U8-$U7)&lt;=IF($B$2="mil",1,0.0254)*5),"Pass",ABS($U8-$U7))</f>
        <v>#REF!</v>
      </c>
      <c r="AT8" s="447" t="e">
        <f>IF((ABS($AD8-$AD7)&lt;=IF($B$2="mil",1,0.0254)*5),"Pass",ABS($AD8-$AD7))</f>
        <v>#REF!</v>
      </c>
      <c r="AU8" s="447" t="e">
        <f>IF((ABS($AL8-$AL7)&lt;=IF($B$2="mil",1,0.0254)*10),"Pass",ABS($AL8-$AL7))</f>
        <v>#REF!</v>
      </c>
      <c r="AV8" s="447" t="e">
        <f>IF($E8&lt;=IF($B$2="mil",1,0.0254)*50,"Pass",IF($B$2="mil",1,0.0254)*50-$E8)</f>
        <v>#REF!</v>
      </c>
      <c r="AW8" s="447" t="e">
        <f>IF($F8&lt;=IF($B$2="mil",1,0.0254)*500,"Pass",IF($B$2="mil",1,0.0254)*500-$F8)</f>
        <v>#REF!</v>
      </c>
      <c r="AX8" s="447" t="e">
        <f>IF($H8&lt;=IF($B$2="mil",1,0.0254)*0,"Pass",IF($B$2="mil",1,0.0254)*0-$H8)</f>
        <v>#REF!</v>
      </c>
      <c r="AY8" s="447" t="e">
        <f ca="1">CheckLength(IF($B$2="mil",1,0.0254)*750, IF($B$2="mil",1,0.0254)*125-J8, 0, I8,J8,0)</f>
        <v>#NAME?</v>
      </c>
      <c r="AZ8" s="447" t="e">
        <f>IF($J8&lt;=IF($B$2="mil",1,0.0254)*125,"Pass",IF($B$2="mil",1,0.0254)*125-$J8)</f>
        <v>#REF!</v>
      </c>
      <c r="BA8" s="447" t="e">
        <f>IF($L8&lt;=IF($B$2="mil",1,0.0254)*125,"Pass",IF($B$2="mil",1,0.0254)*125-$L8)</f>
        <v>#REF!</v>
      </c>
      <c r="BB8" s="447" t="e">
        <f>IF(($L8+$M8)&lt;=IF($B$2="mil",1,0.0254)*1275,"Pass",IF($B$2="mil",1,0.0254)*1275-($L8+M8))</f>
        <v>#REF!</v>
      </c>
      <c r="BC8" s="447" t="e">
        <f>IF($N8&lt;=IF($B$2="mil",1,0.0254)*150,"Pass",IF($B$2="mil",1,0.0254)*150-$N8)</f>
        <v>#REF!</v>
      </c>
      <c r="BD8" s="447" t="e">
        <f>IF($O8&lt;=IF($B$2="mil",1,0.0254)*150,"Pass",IF($B$2="mil",1,0.0254)*150-$O8)</f>
        <v>#REF!</v>
      </c>
      <c r="BE8" s="445" t="e">
        <f>IF(MAX(N8:O8)-MIN(N8:O8)&lt;=IF($B$2="mil",1,0.0254)*50,"Pass",MAX(N8:O8)-MIN(N8:O8)-IF($B$2="mil",1,0.0254)*50)</f>
        <v>#REF!</v>
      </c>
      <c r="BF8" s="447" t="e">
        <f ca="1">CheckLength2(IF($B$2="mil",1,0.0254)*200,$N8,P8,0)</f>
        <v>#NAME?</v>
      </c>
      <c r="BG8" s="447" t="e">
        <f ca="1">CheckLength2(IF($B$2="mil",1,0.0254)*200,$O8,Q8,0)</f>
        <v>#NAME?</v>
      </c>
      <c r="BH8" s="447" t="e">
        <f>IF(AND($S8&gt;=IF($B$2="mil",1,0.0254)*500, $S8&lt;=IF($B$2="mil",1,0.0254)*4000),"Pass",IF($B$2="mil",1,0.0254)*4000-$S8)</f>
        <v>#REF!</v>
      </c>
      <c r="BI8" s="447" t="e">
        <f>IF(AND($U8&gt;=IF($B$2="mil",1,0.0254)*500, $U8&lt;=IF($B$2="mil",1,0.0254)*4750),"Pass",IF($B$2="mil",1,0.0254)*4750-$U8)</f>
        <v>#REF!</v>
      </c>
      <c r="BJ8" s="447" t="e">
        <f>IF(AND($AC8&gt;=IF($B$2="mil",1,0.0254)*500, $AC8&lt;=IF($B$2="mil",1,0.0254)*5500),"Pass",IF($B$2="mil",1,0.0254)*5500-$AC8)</f>
        <v>#REF!</v>
      </c>
      <c r="BK8" s="447" t="e">
        <f>IF(AND($AD8&gt;=IF($B$2="mil",1,0.0254)*500, $AD8&lt;=IF($B$2="mil",1,0.0254)*6000),"Pass",IF($B$2="mil",1,0.0254)*6000-$AD8)</f>
        <v>#REF!</v>
      </c>
      <c r="BL8" s="18"/>
      <c r="BM8" s="2" t="e">
        <f ca="1">IF(AND(AV8="Pass",BI8="Pass",AX8="Pass",AW8="Pass",BH8="Pass",Z8="Pass",AA8="Pass",BG8="Pass",BB8="Pass",BC8="Pass",BD8="Pass",BE8="Pass",BF8="Pass",BA8="Pass",AZ8="Pass",AY8="Pass",AP8="Pass",AQ8="Pass",AS8="Pass",AT8="Pass",AU8="Pass",BJ8="Pass",BK8="Pass",AH8="Pass",AI8="Pass"),"Pass","Fail")</f>
        <v>#REF!</v>
      </c>
    </row>
    <row r="9" spans="1:66" s="2" customFormat="1" x14ac:dyDescent="0.2">
      <c r="A9" s="6" t="s">
        <v>297</v>
      </c>
      <c r="B9" s="558"/>
      <c r="C9" s="559"/>
      <c r="D9" s="8"/>
      <c r="E9" s="258"/>
      <c r="F9" s="258"/>
      <c r="G9" s="258"/>
      <c r="H9" s="258"/>
      <c r="I9" s="258"/>
      <c r="J9" s="262"/>
      <c r="K9" s="8"/>
      <c r="L9" s="262"/>
      <c r="M9" s="262"/>
      <c r="N9" s="262"/>
      <c r="O9" s="262"/>
      <c r="P9" s="262"/>
      <c r="Q9" s="262"/>
      <c r="R9" s="8"/>
      <c r="S9" s="7"/>
      <c r="T9" s="8"/>
      <c r="U9" s="42"/>
      <c r="V9" s="8"/>
      <c r="W9" s="8"/>
      <c r="X9" s="8"/>
      <c r="Y9" s="8"/>
      <c r="Z9" s="8"/>
      <c r="AA9" s="8"/>
      <c r="AB9" s="8"/>
      <c r="AC9" s="7"/>
      <c r="AD9" s="42"/>
      <c r="AE9" s="8"/>
      <c r="AF9" s="13"/>
      <c r="AG9" s="8"/>
      <c r="AH9" s="13"/>
      <c r="AI9" s="13"/>
      <c r="AJ9" s="8"/>
      <c r="AK9" s="7"/>
      <c r="AL9" s="42"/>
      <c r="AM9" s="8"/>
      <c r="AN9" s="13"/>
      <c r="AO9" s="8"/>
      <c r="AP9" s="13"/>
      <c r="AQ9" s="13"/>
      <c r="AR9" s="8"/>
      <c r="AS9" s="13"/>
      <c r="AT9" s="13"/>
      <c r="AU9" s="13"/>
      <c r="AV9" s="13"/>
      <c r="AW9" s="13"/>
      <c r="AX9" s="13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10"/>
    </row>
    <row r="10" spans="1:66" s="2" customFormat="1" x14ac:dyDescent="0.2">
      <c r="A10" s="579" t="s">
        <v>72</v>
      </c>
      <c r="B10" s="580"/>
      <c r="C10" s="574"/>
      <c r="D10" s="44"/>
      <c r="E10" s="259"/>
      <c r="F10" s="259"/>
      <c r="G10" s="259"/>
      <c r="H10" s="259"/>
      <c r="I10" s="259"/>
      <c r="J10" s="263"/>
      <c r="K10" s="43"/>
      <c r="L10" s="263"/>
      <c r="M10" s="263"/>
      <c r="N10" s="263"/>
      <c r="O10" s="263"/>
      <c r="P10" s="263"/>
      <c r="Q10" s="263"/>
      <c r="R10" s="43"/>
      <c r="S10" s="67"/>
      <c r="T10" s="44"/>
      <c r="U10" s="54"/>
      <c r="V10" s="485"/>
      <c r="W10" s="145"/>
      <c r="X10" s="486"/>
      <c r="Y10" s="44"/>
      <c r="Z10" s="54"/>
      <c r="AA10" s="54"/>
      <c r="AB10" s="485"/>
      <c r="AC10" s="67"/>
      <c r="AD10" s="485" t="s">
        <v>272</v>
      </c>
      <c r="AE10" s="487" t="e">
        <f>MIN('DDR2 Clocks - 4L'!$O$5:$O$6)</f>
        <v>#REF!</v>
      </c>
      <c r="AF10" s="486" t="e">
        <f>MAX('DDR2 Clocks - 4L'!$O$5:$O$6)</f>
        <v>#REF!</v>
      </c>
      <c r="AG10" s="54"/>
      <c r="AH10" s="54"/>
      <c r="AI10" s="54"/>
      <c r="AJ10" s="485"/>
      <c r="AK10" s="67"/>
      <c r="AL10" s="485" t="s">
        <v>332</v>
      </c>
      <c r="AM10" s="487" t="e">
        <f>MIN('DDR2 Clocks - 4L'!$O$7:$O$8)</f>
        <v>#REF!</v>
      </c>
      <c r="AN10" s="486" t="e">
        <f>MAX('DDR2 Clocks - 4L'!$O$7:$O$8)</f>
        <v>#REF!</v>
      </c>
      <c r="AO10" s="54"/>
      <c r="AP10" s="54"/>
      <c r="AQ10" s="54"/>
      <c r="AR10" s="485"/>
      <c r="AS10" s="54"/>
      <c r="AT10" s="54"/>
      <c r="AU10" s="54"/>
      <c r="AV10" s="54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  <c r="BK10" s="43"/>
      <c r="BL10" s="48"/>
    </row>
    <row r="11" spans="1:66" s="2" customFormat="1" x14ac:dyDescent="0.2">
      <c r="A11" s="6" t="s">
        <v>298</v>
      </c>
      <c r="B11" s="581"/>
      <c r="C11" s="575"/>
      <c r="D11" s="51"/>
      <c r="E11" s="260"/>
      <c r="F11" s="260"/>
      <c r="G11" s="260"/>
      <c r="H11" s="260"/>
      <c r="I11" s="260"/>
      <c r="J11" s="264"/>
      <c r="K11" s="45"/>
      <c r="L11" s="264"/>
      <c r="M11" s="264"/>
      <c r="N11" s="264"/>
      <c r="O11" s="264"/>
      <c r="P11" s="264"/>
      <c r="Q11" s="264"/>
      <c r="R11" s="45"/>
      <c r="S11" s="45"/>
      <c r="T11" s="45"/>
      <c r="U11" s="45"/>
      <c r="V11" s="45"/>
      <c r="W11" s="45"/>
      <c r="X11" s="55"/>
      <c r="Y11" s="45"/>
      <c r="Z11" s="55"/>
      <c r="AA11" s="55"/>
      <c r="AB11" s="55"/>
      <c r="AC11" s="45"/>
      <c r="AD11" s="45"/>
      <c r="AE11" s="55"/>
      <c r="AF11" s="56"/>
      <c r="AG11" s="55"/>
      <c r="AH11" s="45"/>
      <c r="AI11" s="45"/>
      <c r="AJ11" s="55"/>
      <c r="AK11" s="45"/>
      <c r="AL11" s="45"/>
      <c r="AM11" s="55"/>
      <c r="AN11" s="56"/>
      <c r="AO11" s="55"/>
      <c r="AP11" s="45"/>
      <c r="AQ11" s="45"/>
      <c r="AR11" s="55"/>
      <c r="AS11" s="45"/>
      <c r="AT11" s="45"/>
      <c r="AU11" s="45"/>
      <c r="AV11" s="45"/>
      <c r="AW11" s="55"/>
      <c r="AX11" s="55"/>
      <c r="AY11" s="55"/>
      <c r="AZ11" s="55"/>
      <c r="BA11" s="55"/>
      <c r="BB11" s="55"/>
      <c r="BC11" s="55"/>
      <c r="BD11" s="55"/>
      <c r="BE11" s="55"/>
      <c r="BF11" s="55"/>
      <c r="BG11" s="55"/>
      <c r="BH11" s="55"/>
      <c r="BI11" s="55"/>
      <c r="BJ11" s="55"/>
      <c r="BK11" s="55"/>
      <c r="BL11" s="57"/>
    </row>
    <row r="12" spans="1:66" s="2" customFormat="1" x14ac:dyDescent="0.2">
      <c r="A12" s="578" t="s">
        <v>140</v>
      </c>
      <c r="B12" s="573" t="s">
        <v>498</v>
      </c>
      <c r="C12" s="562">
        <v>768.42519685039372</v>
      </c>
      <c r="D12" s="16"/>
      <c r="E12" s="17">
        <v>22.63</v>
      </c>
      <c r="F12" s="17">
        <v>0</v>
      </c>
      <c r="G12">
        <v>1503.71</v>
      </c>
      <c r="H12">
        <v>0</v>
      </c>
      <c r="I12">
        <v>794.79</v>
      </c>
      <c r="J12">
        <v>44.57</v>
      </c>
      <c r="K12" s="17">
        <v>40</v>
      </c>
      <c r="L12">
        <v>43.4</v>
      </c>
      <c r="M12">
        <v>924.3</v>
      </c>
      <c r="N12" s="271">
        <v>0</v>
      </c>
      <c r="O12" s="271">
        <v>0</v>
      </c>
      <c r="P12">
        <v>101.96</v>
      </c>
      <c r="Q12">
        <v>102.52</v>
      </c>
      <c r="R12" s="58"/>
      <c r="S12" s="441">
        <f xml:space="preserve"> E12+F12+G12+H12</f>
        <v>1526.3400000000001</v>
      </c>
      <c r="T12" s="533"/>
      <c r="U12" s="441" t="e">
        <f>S12+IF($B$2="mil",1,0.0254)*C12</f>
        <v>#REF!</v>
      </c>
      <c r="V12" s="533"/>
      <c r="W12" s="441" t="e">
        <f>MAX(W$5:X$5)+IF($B$2="mil",1,0.0254)*DDR2Specs!$B$2</f>
        <v>#REF!</v>
      </c>
      <c r="X12" s="441" t="e">
        <f>MIN(W$5:X$5)+IF($B$2="mil",1,0.0254)*DDR2Specs!$C$2</f>
        <v>#REF!</v>
      </c>
      <c r="Y12" s="533"/>
      <c r="Z12" s="534" t="e">
        <f>IF($U12&lt;$W12,$W12-$U12,"Pass")</f>
        <v>#REF!</v>
      </c>
      <c r="AA12" s="447" t="e">
        <f>IF($U12&gt;$X12,$U12-$X12,"Pass")</f>
        <v>#REF!</v>
      </c>
      <c r="AB12" s="18"/>
      <c r="AC12" s="441">
        <f>SUM(E12:G12,I12:N12,P12)</f>
        <v>3475.3600000000006</v>
      </c>
      <c r="AD12" s="441" t="e">
        <f>AC12+IF($B$2="mil",1,0.0254)*$C12</f>
        <v>#REF!</v>
      </c>
      <c r="AE12" s="441" t="e">
        <f>MAX(AE$10:AF$10)+IF($B$2="mil",1,0.0254)*DDR2Specs!$E$2</f>
        <v>#REF!</v>
      </c>
      <c r="AF12" s="441" t="e">
        <f>MIN(AE$10:AF$10)+IF($B$2="mil",1,0.0254)*DDR2Specs!$F$2</f>
        <v>#REF!</v>
      </c>
      <c r="AG12" s="18"/>
      <c r="AH12" s="534" t="e">
        <f>IF($AD12&lt;$AE12,$AE12-$AD12,"Pass")</f>
        <v>#REF!</v>
      </c>
      <c r="AI12" s="447" t="e">
        <f>IF($AD12&gt;$AF12,$AD12-$AF12,"Pass")</f>
        <v>#REF!</v>
      </c>
      <c r="AJ12" s="18"/>
      <c r="AK12" s="441">
        <f>SUM(E12:G12,I12:M12,O12,Q12)</f>
        <v>3475.9200000000005</v>
      </c>
      <c r="AL12" s="441" t="e">
        <f>AK12+IF($B$2="mil",1,0.0254)*$C12</f>
        <v>#REF!</v>
      </c>
      <c r="AM12" s="441" t="e">
        <f>MAX(AM$10:AN$10)+IF($B$2="mil",1,0.0254)*DDR2Specs!$E$2</f>
        <v>#REF!</v>
      </c>
      <c r="AN12" s="441" t="e">
        <f>MIN(AM$10:AN$10)+IF($B$2="mil",1,0.0254)*DDR2Specs!$F$2</f>
        <v>#REF!</v>
      </c>
      <c r="AO12" s="18"/>
      <c r="AP12" s="534" t="e">
        <f>IF($AL12&lt;$AM12,$AM12-$AL12,"Pass")</f>
        <v>#REF!</v>
      </c>
      <c r="AQ12" s="447" t="e">
        <f>IF($AL12&gt;$AN12,$AL12-$AN12,"Pass")</f>
        <v>#REF!</v>
      </c>
      <c r="AR12" s="18"/>
      <c r="AS12" s="447" t="e">
        <f>IF((ABS($U12-$U13)&lt;=IF($B$2="mil",1,0.0254)*5),"Pass",ABS($U12-$U13))</f>
        <v>#REF!</v>
      </c>
      <c r="AT12" s="447" t="e">
        <f>IF((ABS($AD12-$AD13)&lt;=IF($B$2="mil",1,0.0254)*5),"Pass",ABS($AD12-$AD13))</f>
        <v>#REF!</v>
      </c>
      <c r="AU12" s="447" t="e">
        <f>IF((ABS($AL12-$AL13)&lt;=IF($B$2="mil",1,0.0254)*10),"Pass",ABS($AL12-$AL13))</f>
        <v>#REF!</v>
      </c>
      <c r="AV12" s="447" t="e">
        <f>IF($E12&lt;=IF($B$2="mil",1,0.0254)*50,"Pass",IF($B$2="mil",1,0.0254)*50-$E12)</f>
        <v>#REF!</v>
      </c>
      <c r="AW12" s="447" t="e">
        <f>IF($F12&lt;=IF($B$2="mil",1,0.0254)*500,"Pass",IF($B$2="mil",1,0.0254)*500-$F12)</f>
        <v>#REF!</v>
      </c>
      <c r="AX12" s="447" t="e">
        <f>IF($H12&lt;=IF($B$2="mil",1,0.0254)*0,"Pass",IF($B$2="mil",1,0.0254)*0-$H12)</f>
        <v>#REF!</v>
      </c>
      <c r="AY12" s="447" t="e">
        <f ca="1">CheckLength(IF($B$2="mil",1,0.0254)*750, IF($B$2="mil",1,0.0254)*125-J12, 0, I12,J12,0)</f>
        <v>#NAME?</v>
      </c>
      <c r="AZ12" s="447" t="e">
        <f>IF($J12&lt;=IF($B$2="mil",1,0.0254)*125,"Pass",IF($B$2="mil",1,0.0254)*125-$J12)</f>
        <v>#REF!</v>
      </c>
      <c r="BA12" s="447" t="e">
        <f>IF($L12&lt;=IF($B$2="mil",1,0.0254)*125,"Pass",IF($B$2="mil",1,0.0254)*125-$L12)</f>
        <v>#REF!</v>
      </c>
      <c r="BB12" s="447" t="e">
        <f>IF(($L12+$M12)&lt;=IF($B$2="mil",1,0.0254)*1275,"Pass",IF($B$2="mil",1,0.0254)*1275-($L12+M12))</f>
        <v>#REF!</v>
      </c>
      <c r="BC12" s="447" t="e">
        <f>IF($N12&lt;=IF($B$2="mil",1,0.0254)*150,"Pass",IF($B$2="mil",1,0.0254)*150-$N12)</f>
        <v>#REF!</v>
      </c>
      <c r="BD12" s="447" t="e">
        <f>IF($O12&lt;=IF($B$2="mil",1,0.0254)*150,"Pass",IF($B$2="mil",1,0.0254)*150-$O12)</f>
        <v>#REF!</v>
      </c>
      <c r="BE12" s="445" t="e">
        <f>IF(MAX(N12:O12)-MIN(N12:O12)&lt;=IF($B$2="mil",1,0.0254)*50,"Pass",MAX(N12:O12)-MIN(N12:O12)-IF($B$2="mil",1,0.0254)*50)</f>
        <v>#REF!</v>
      </c>
      <c r="BF12" s="447" t="e">
        <f ca="1">CheckLength2(IF($B$2="mil",1,0.0254)*200,$N12,P12,0)</f>
        <v>#NAME?</v>
      </c>
      <c r="BG12" s="447" t="e">
        <f ca="1">CheckLength2(IF($B$2="mil",1,0.0254)*200,$O12,Q12,0)</f>
        <v>#NAME?</v>
      </c>
      <c r="BH12" s="447" t="e">
        <f>IF(AND($S12&gt;=IF($B$2="mil",1,0.0254)*500, $S12&lt;=IF($B$2="mil",1,0.0254)*4000),"Pass",IF($B$2="mil",1,0.0254)*4000-$S12)</f>
        <v>#REF!</v>
      </c>
      <c r="BI12" s="447" t="e">
        <f>IF(AND($U12&gt;=IF($B$2="mil",1,0.0254)*500, $U12&lt;=IF($B$2="mil",1,0.0254)*4750),"Pass",IF($B$2="mil",1,0.0254)*4750-$U12)</f>
        <v>#REF!</v>
      </c>
      <c r="BJ12" s="447" t="e">
        <f>IF(AND($AC12&gt;=IF($B$2="mil",1,0.0254)*500, $AC12&lt;=IF($B$2="mil",1,0.0254)*5500),"Pass",IF($B$2="mil",1,0.0254)*5500-$AC12)</f>
        <v>#REF!</v>
      </c>
      <c r="BK12" s="447" t="e">
        <f>IF(AND($AD12&gt;=IF($B$2="mil",1,0.0254)*500, $AD12&lt;=IF($B$2="mil",1,0.0254)*6000),"Pass",IF($B$2="mil",1,0.0254)*6000-$AD12)</f>
        <v>#REF!</v>
      </c>
      <c r="BL12" s="18"/>
      <c r="BM12" s="2" t="e">
        <f ca="1">IF(AND(AV12="Pass",BI12="Pass",AX12="Pass",AW12="Pass",BH12="Pass",Z12="Pass",AA12="Pass",BG12="Pass",BB12="Pass",BC12="Pass",BD12="Pass",BE12="Pass",BF12="Pass",BA12="Pass",AZ12="Pass",AY12="Pass",AP12="Pass",AQ12="Pass",AS12="Pass",AT12="Pass",AU12="Pass",BJ12="Pass",BK12="Pass",AH12="Pass",AI12="Pass"),"Pass","Fail")</f>
        <v>#REF!</v>
      </c>
    </row>
    <row r="13" spans="1:66" s="2" customFormat="1" x14ac:dyDescent="0.2">
      <c r="A13" s="578" t="s">
        <v>141</v>
      </c>
      <c r="B13" s="573" t="s">
        <v>359</v>
      </c>
      <c r="C13" s="562">
        <v>768.46456692913387</v>
      </c>
      <c r="D13" s="16"/>
      <c r="E13" s="17">
        <v>22.63</v>
      </c>
      <c r="F13" s="17">
        <v>0</v>
      </c>
      <c r="G13">
        <v>1502.26</v>
      </c>
      <c r="H13">
        <v>0</v>
      </c>
      <c r="I13">
        <v>788.93</v>
      </c>
      <c r="J13">
        <v>85.78</v>
      </c>
      <c r="K13" s="17">
        <v>40</v>
      </c>
      <c r="L13">
        <v>44.57</v>
      </c>
      <c r="M13">
        <v>882.34</v>
      </c>
      <c r="N13" s="271">
        <v>0</v>
      </c>
      <c r="O13" s="271">
        <v>0</v>
      </c>
      <c r="P13">
        <v>109.41</v>
      </c>
      <c r="Q13">
        <v>109.35</v>
      </c>
      <c r="R13" s="58"/>
      <c r="S13" s="441">
        <f xml:space="preserve"> E13+F13+G13+H13</f>
        <v>1524.89</v>
      </c>
      <c r="T13" s="533"/>
      <c r="U13" s="441" t="e">
        <f>S13+IF($B$2="mil",1,0.0254)*C13</f>
        <v>#REF!</v>
      </c>
      <c r="V13" s="533"/>
      <c r="W13" s="441" t="e">
        <f>MAX(W$5:X$5)+IF($B$2="mil",1,0.0254)*DDR2Specs!$B$2</f>
        <v>#REF!</v>
      </c>
      <c r="X13" s="441" t="e">
        <f>MIN(W$5:X$5)+IF($B$2="mil",1,0.0254)*DDR2Specs!$C$2</f>
        <v>#REF!</v>
      </c>
      <c r="Y13" s="533"/>
      <c r="Z13" s="534" t="e">
        <f>IF($U13&lt;$W13,$W13-$U13,"Pass")</f>
        <v>#REF!</v>
      </c>
      <c r="AA13" s="447" t="e">
        <f>IF($U13&gt;$X13,$U13-$X13,"Pass")</f>
        <v>#REF!</v>
      </c>
      <c r="AB13" s="18"/>
      <c r="AC13" s="441">
        <f>SUM(E13:G13,I13:N13,P13)</f>
        <v>3475.9200000000005</v>
      </c>
      <c r="AD13" s="441" t="e">
        <f>AC13+IF($B$2="mil",1,0.0254)*$C13</f>
        <v>#REF!</v>
      </c>
      <c r="AE13" s="441" t="e">
        <f>MAX(AE$10:AF$10)+IF($B$2="mil",1,0.0254)*DDR2Specs!$E$2</f>
        <v>#REF!</v>
      </c>
      <c r="AF13" s="441" t="e">
        <f>MIN(AE$10:AF$10)+IF($B$2="mil",1,0.0254)*DDR2Specs!$F$2</f>
        <v>#REF!</v>
      </c>
      <c r="AG13" s="18"/>
      <c r="AH13" s="534" t="e">
        <f>IF($AD13&lt;$AE13,$AE13-$AD13,"Pass")</f>
        <v>#REF!</v>
      </c>
      <c r="AI13" s="447" t="e">
        <f>IF($AD13&gt;$AF13,$AD13-$AF13,"Pass")</f>
        <v>#REF!</v>
      </c>
      <c r="AJ13" s="18"/>
      <c r="AK13" s="441">
        <f>SUM(E13:G13,I13:M13,O13,Q13)</f>
        <v>3475.8600000000006</v>
      </c>
      <c r="AL13" s="441" t="e">
        <f>AK13+IF($B$2="mil",1,0.0254)*$C13</f>
        <v>#REF!</v>
      </c>
      <c r="AM13" s="441" t="e">
        <f>MAX(AM$10:AN$10)+IF($B$2="mil",1,0.0254)*DDR2Specs!$E$2</f>
        <v>#REF!</v>
      </c>
      <c r="AN13" s="441" t="e">
        <f>MIN(AM$10:AN$10)+IF($B$2="mil",1,0.0254)*DDR2Specs!$F$2</f>
        <v>#REF!</v>
      </c>
      <c r="AO13" s="18"/>
      <c r="AP13" s="534" t="e">
        <f>IF($AL13&lt;$AM13,$AM13-$AL13,"Pass")</f>
        <v>#REF!</v>
      </c>
      <c r="AQ13" s="447" t="e">
        <f>IF($AL13&gt;$AN13,$AL13-$AN13,"Pass")</f>
        <v>#REF!</v>
      </c>
      <c r="AR13" s="18"/>
      <c r="AS13" s="447" t="e">
        <f>IF((ABS($U13-$U12)&lt;=IF($B$2="mil",1,0.0254)*5),"Pass",ABS($U13-$U12))</f>
        <v>#REF!</v>
      </c>
      <c r="AT13" s="447" t="e">
        <f>IF((ABS($AD13-$AD12)&lt;=IF($B$2="mil",1,0.0254)*5),"Pass",ABS($AD13-$AD12))</f>
        <v>#REF!</v>
      </c>
      <c r="AU13" s="447" t="e">
        <f>IF((ABS($AL13-$AL12)&lt;=IF($B$2="mil",1,0.0254)*10),"Pass",ABS($AL13-$AL12))</f>
        <v>#REF!</v>
      </c>
      <c r="AV13" s="447" t="e">
        <f>IF($E13&lt;=IF($B$2="mil",1,0.0254)*50,"Pass",IF($B$2="mil",1,0.0254)*50-$E13)</f>
        <v>#REF!</v>
      </c>
      <c r="AW13" s="447" t="e">
        <f>IF($F13&lt;=IF($B$2="mil",1,0.0254)*500,"Pass",IF($B$2="mil",1,0.0254)*500-$F13)</f>
        <v>#REF!</v>
      </c>
      <c r="AX13" s="447" t="e">
        <f>IF($H13&lt;=IF($B$2="mil",1,0.0254)*0,"Pass",IF($B$2="mil",1,0.0254)*0-$H13)</f>
        <v>#REF!</v>
      </c>
      <c r="AY13" s="447" t="e">
        <f ca="1">CheckLength(IF($B$2="mil",1,0.0254)*750, IF($B$2="mil",1,0.0254)*125-J13, 0, I13,J13,0)</f>
        <v>#NAME?</v>
      </c>
      <c r="AZ13" s="447" t="e">
        <f>IF($J13&lt;=IF($B$2="mil",1,0.0254)*125,"Pass",IF($B$2="mil",1,0.0254)*125-$J13)</f>
        <v>#REF!</v>
      </c>
      <c r="BA13" s="447" t="e">
        <f>IF($L13&lt;=IF($B$2="mil",1,0.0254)*125,"Pass",IF($B$2="mil",1,0.0254)*125-$L13)</f>
        <v>#REF!</v>
      </c>
      <c r="BB13" s="447" t="e">
        <f>IF(($L13+$M13)&lt;=IF($B$2="mil",1,0.0254)*1275,"Pass",IF($B$2="mil",1,0.0254)*1275-($L13+M13))</f>
        <v>#REF!</v>
      </c>
      <c r="BC13" s="447" t="e">
        <f>IF($N13&lt;=IF($B$2="mil",1,0.0254)*150,"Pass",IF($B$2="mil",1,0.0254)*150-$N13)</f>
        <v>#REF!</v>
      </c>
      <c r="BD13" s="447" t="e">
        <f>IF($O13&lt;=IF($B$2="mil",1,0.0254)*150,"Pass",IF($B$2="mil",1,0.0254)*150-$O13)</f>
        <v>#REF!</v>
      </c>
      <c r="BE13" s="445" t="e">
        <f>IF(MAX(N13:O13)-MIN(N13:O13)&lt;=IF($B$2="mil",1,0.0254)*50,"Pass",MAX(N13:O13)-MIN(N13:O13)-IF($B$2="mil",1,0.0254)*50)</f>
        <v>#REF!</v>
      </c>
      <c r="BF13" s="447" t="e">
        <f ca="1">CheckLength2(IF($B$2="mil",1,0.0254)*200,$N13,P13,0)</f>
        <v>#NAME?</v>
      </c>
      <c r="BG13" s="447" t="e">
        <f ca="1">CheckLength2(IF($B$2="mil",1,0.0254)*200,$O13,Q13,0)</f>
        <v>#NAME?</v>
      </c>
      <c r="BH13" s="447" t="e">
        <f>IF(AND($S13&gt;=IF($B$2="mil",1,0.0254)*500, $S13&lt;=IF($B$2="mil",1,0.0254)*4000),"Pass",IF($B$2="mil",1,0.0254)*4000-$S13)</f>
        <v>#REF!</v>
      </c>
      <c r="BI13" s="447" t="e">
        <f>IF(AND($U13&gt;=IF($B$2="mil",1,0.0254)*500, $U13&lt;=IF($B$2="mil",1,0.0254)*4750),"Pass",IF($B$2="mil",1,0.0254)*4750-$U13)</f>
        <v>#REF!</v>
      </c>
      <c r="BJ13" s="447" t="e">
        <f>IF(AND($AC13&gt;=IF($B$2="mil",1,0.0254)*500, $AC13&lt;=IF($B$2="mil",1,0.0254)*5500),"Pass",IF($B$2="mil",1,0.0254)*5500-$AC13)</f>
        <v>#REF!</v>
      </c>
      <c r="BK13" s="447" t="e">
        <f>IF(AND($AD13&gt;=IF($B$2="mil",1,0.0254)*500, $AD13&lt;=IF($B$2="mil",1,0.0254)*6000),"Pass",IF($B$2="mil",1,0.0254)*6000-$AD13)</f>
        <v>#REF!</v>
      </c>
      <c r="BL13" s="18"/>
      <c r="BM13" s="2" t="e">
        <f ca="1">IF(AND(AV13="Pass",BI13="Pass",AX13="Pass",AW13="Pass",BH13="Pass",Z13="Pass",AA13="Pass",BG13="Pass",BB13="Pass",BC13="Pass",BD13="Pass",BE13="Pass",BF13="Pass",BA13="Pass",AZ13="Pass",AY13="Pass",AP13="Pass",AQ13="Pass",AS13="Pass",AT13="Pass",AU13="Pass",BJ13="Pass",BK13="Pass",AH13="Pass",AI13="Pass"),"Pass","Fail")</f>
        <v>#REF!</v>
      </c>
    </row>
    <row r="14" spans="1:66" s="2" customFormat="1" x14ac:dyDescent="0.2">
      <c r="A14" s="6" t="s">
        <v>297</v>
      </c>
      <c r="B14" s="558"/>
      <c r="C14" s="559"/>
      <c r="D14" s="8"/>
      <c r="E14" s="258"/>
      <c r="F14" s="258"/>
      <c r="G14" s="258"/>
      <c r="H14" s="258"/>
      <c r="I14" s="258"/>
      <c r="J14" s="262"/>
      <c r="K14" s="8"/>
      <c r="L14" s="262"/>
      <c r="M14" s="262"/>
      <c r="N14" s="262"/>
      <c r="O14" s="262"/>
      <c r="P14" s="262"/>
      <c r="Q14" s="262"/>
      <c r="R14" s="8"/>
      <c r="S14" s="7"/>
      <c r="T14" s="8"/>
      <c r="U14" s="42"/>
      <c r="V14" s="8"/>
      <c r="W14" s="8"/>
      <c r="X14" s="8"/>
      <c r="Y14" s="8"/>
      <c r="Z14" s="8"/>
      <c r="AA14" s="8"/>
      <c r="AB14" s="8"/>
      <c r="AC14" s="7"/>
      <c r="AD14" s="42"/>
      <c r="AE14" s="8"/>
      <c r="AF14" s="13"/>
      <c r="AG14" s="8"/>
      <c r="AH14" s="13"/>
      <c r="AI14" s="13"/>
      <c r="AJ14" s="8"/>
      <c r="AK14" s="7"/>
      <c r="AL14" s="42"/>
      <c r="AM14" s="8"/>
      <c r="AN14" s="13"/>
      <c r="AO14" s="8"/>
      <c r="AP14" s="13"/>
      <c r="AQ14" s="13"/>
      <c r="AR14" s="8"/>
      <c r="AS14" s="13"/>
      <c r="AT14" s="13"/>
      <c r="AU14" s="13"/>
      <c r="AV14" s="13"/>
      <c r="AW14" s="13"/>
      <c r="AX14" s="13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10"/>
    </row>
    <row r="15" spans="1:66" s="2" customFormat="1" x14ac:dyDescent="0.2">
      <c r="A15" s="579" t="s">
        <v>72</v>
      </c>
      <c r="B15" s="580"/>
      <c r="C15" s="574"/>
      <c r="D15" s="44"/>
      <c r="E15" s="259"/>
      <c r="F15" s="259"/>
      <c r="G15" s="259"/>
      <c r="H15" s="259"/>
      <c r="I15" s="259"/>
      <c r="J15" s="263"/>
      <c r="K15" s="43"/>
      <c r="L15" s="263"/>
      <c r="M15" s="263"/>
      <c r="N15" s="263"/>
      <c r="O15" s="263"/>
      <c r="P15" s="263"/>
      <c r="Q15" s="263"/>
      <c r="R15" s="43"/>
      <c r="S15" s="67"/>
      <c r="T15" s="44"/>
      <c r="U15" s="54"/>
      <c r="V15" s="485"/>
      <c r="W15" s="145"/>
      <c r="X15" s="486"/>
      <c r="Y15" s="44"/>
      <c r="Z15" s="54"/>
      <c r="AA15" s="54"/>
      <c r="AB15" s="485"/>
      <c r="AC15" s="67"/>
      <c r="AD15" s="485" t="s">
        <v>275</v>
      </c>
      <c r="AE15" s="487" t="e">
        <f>MIN('DDR2 Clocks - 4L'!$O$9:$O$10)</f>
        <v>#REF!</v>
      </c>
      <c r="AF15" s="486" t="e">
        <f>MAX('DDR2 Clocks - 4L'!$O$9:$O$10)</f>
        <v>#REF!</v>
      </c>
      <c r="AG15" s="54"/>
      <c r="AH15" s="54"/>
      <c r="AI15" s="54"/>
      <c r="AJ15" s="485"/>
      <c r="AK15" s="67"/>
      <c r="AL15" s="485" t="s">
        <v>333</v>
      </c>
      <c r="AM15" s="487" t="e">
        <f>MIN('DDR2 Clocks - 4L'!$O$11:$O$12)</f>
        <v>#REF!</v>
      </c>
      <c r="AN15" s="486" t="e">
        <f>MAX('DDR2 Clocks - 4L'!$O$11:$O$12)</f>
        <v>#REF!</v>
      </c>
      <c r="AO15" s="54"/>
      <c r="AP15" s="54"/>
      <c r="AQ15" s="54"/>
      <c r="AR15" s="485"/>
      <c r="AS15" s="54"/>
      <c r="AT15" s="54"/>
      <c r="AU15" s="54"/>
      <c r="AV15" s="54"/>
      <c r="AW15" s="43"/>
      <c r="AX15" s="43"/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8"/>
    </row>
    <row r="16" spans="1:66" s="2" customFormat="1" x14ac:dyDescent="0.2">
      <c r="A16" s="6" t="s">
        <v>298</v>
      </c>
      <c r="B16" s="581"/>
      <c r="C16" s="575"/>
      <c r="D16" s="51"/>
      <c r="E16" s="260"/>
      <c r="F16" s="260"/>
      <c r="G16" s="260"/>
      <c r="H16" s="260"/>
      <c r="I16" s="260"/>
      <c r="J16" s="264"/>
      <c r="K16" s="45"/>
      <c r="L16" s="264"/>
      <c r="M16" s="264"/>
      <c r="N16" s="264"/>
      <c r="O16" s="264"/>
      <c r="P16" s="264"/>
      <c r="Q16" s="264"/>
      <c r="R16" s="45"/>
      <c r="S16" s="45"/>
      <c r="T16" s="45"/>
      <c r="U16" s="45"/>
      <c r="V16" s="45"/>
      <c r="W16" s="45"/>
      <c r="X16" s="55"/>
      <c r="Y16" s="45"/>
      <c r="Z16" s="55"/>
      <c r="AA16" s="55"/>
      <c r="AB16" s="55"/>
      <c r="AC16" s="45"/>
      <c r="AD16" s="45"/>
      <c r="AE16" s="55"/>
      <c r="AF16" s="56"/>
      <c r="AG16" s="55"/>
      <c r="AH16" s="45"/>
      <c r="AI16" s="45"/>
      <c r="AJ16" s="55"/>
      <c r="AK16" s="45"/>
      <c r="AL16" s="45"/>
      <c r="AM16" s="55"/>
      <c r="AN16" s="56"/>
      <c r="AO16" s="55"/>
      <c r="AP16" s="45"/>
      <c r="AQ16" s="45"/>
      <c r="AR16" s="55"/>
      <c r="AS16" s="45"/>
      <c r="AT16" s="45"/>
      <c r="AU16" s="45"/>
      <c r="AV16" s="45"/>
      <c r="AW16" s="55"/>
      <c r="AX16" s="55"/>
      <c r="AY16" s="55"/>
      <c r="AZ16" s="55"/>
      <c r="BA16" s="55"/>
      <c r="BB16" s="55"/>
      <c r="BC16" s="55"/>
      <c r="BD16" s="55"/>
      <c r="BE16" s="55"/>
      <c r="BF16" s="55"/>
      <c r="BG16" s="55"/>
      <c r="BH16" s="55"/>
      <c r="BI16" s="55"/>
      <c r="BJ16" s="55"/>
      <c r="BK16" s="55"/>
      <c r="BL16" s="57"/>
    </row>
    <row r="17" spans="1:65" s="2" customFormat="1" x14ac:dyDescent="0.2">
      <c r="A17" s="578" t="s">
        <v>142</v>
      </c>
      <c r="B17" s="582" t="s">
        <v>362</v>
      </c>
      <c r="C17" s="562">
        <v>606.61417322834643</v>
      </c>
      <c r="D17" s="16"/>
      <c r="E17" s="17">
        <v>22.63</v>
      </c>
      <c r="F17" s="17">
        <v>0</v>
      </c>
      <c r="G17">
        <v>1734.55</v>
      </c>
      <c r="H17">
        <v>0</v>
      </c>
      <c r="I17">
        <v>829.42</v>
      </c>
      <c r="J17">
        <v>44.57</v>
      </c>
      <c r="K17" s="17">
        <v>40</v>
      </c>
      <c r="L17">
        <v>90.75</v>
      </c>
      <c r="M17">
        <v>1050.32</v>
      </c>
      <c r="N17" s="271">
        <v>0</v>
      </c>
      <c r="O17" s="271">
        <v>0</v>
      </c>
      <c r="P17">
        <v>132.37</v>
      </c>
      <c r="Q17">
        <v>127.3</v>
      </c>
      <c r="R17" s="58"/>
      <c r="S17" s="441">
        <f xml:space="preserve"> E17+F17+G17+H17</f>
        <v>1757.18</v>
      </c>
      <c r="T17" s="533"/>
      <c r="U17" s="441" t="e">
        <f>S17+IF($B$2="mil",1,0.0254)*C17</f>
        <v>#REF!</v>
      </c>
      <c r="V17" s="533"/>
      <c r="W17" s="441" t="e">
        <f>MAX(W$5:X$5)+IF($B$2="mil",1,0.0254)*DDR2Specs!$B$2</f>
        <v>#REF!</v>
      </c>
      <c r="X17" s="441" t="e">
        <f>MIN(W$5:X$5)+IF($B$2="mil",1,0.0254)*DDR2Specs!$C$2</f>
        <v>#REF!</v>
      </c>
      <c r="Y17" s="533"/>
      <c r="Z17" s="534" t="e">
        <f>IF($U17&lt;$W17,$W17-$U17,"Pass")</f>
        <v>#REF!</v>
      </c>
      <c r="AA17" s="447" t="e">
        <f>IF($U17&gt;$X17,$U17-$X17,"Pass")</f>
        <v>#REF!</v>
      </c>
      <c r="AB17" s="18"/>
      <c r="AC17" s="441">
        <f>SUM(E17:G17,I17:N17,P17)</f>
        <v>3944.6099999999997</v>
      </c>
      <c r="AD17" s="441" t="e">
        <f>AC17+IF($B$2="mil",1,0.0254)*$C17</f>
        <v>#REF!</v>
      </c>
      <c r="AE17" s="441" t="e">
        <f>MAX(AE$15:AF$15)+IF($B$2="mil",1,0.0254)*DDR2Specs!$E$2</f>
        <v>#REF!</v>
      </c>
      <c r="AF17" s="441" t="e">
        <f>MIN(AE$15:AF$15)+IF($B$2="mil",1,0.0254)*DDR2Specs!$F$2</f>
        <v>#REF!</v>
      </c>
      <c r="AG17" s="18"/>
      <c r="AH17" s="534" t="e">
        <f>IF($AD17&lt;$AE17,$AE17-$AD17,"Pass")</f>
        <v>#REF!</v>
      </c>
      <c r="AI17" s="447" t="e">
        <f>IF($AD17&gt;$AF17,$AD17-$AF17,"Pass")</f>
        <v>#REF!</v>
      </c>
      <c r="AJ17" s="18"/>
      <c r="AK17" s="441">
        <f>SUM(E17:G17,I17:M17,O17,Q17)</f>
        <v>3939.54</v>
      </c>
      <c r="AL17" s="441" t="e">
        <f>AK17+IF($B$2="mil",1,0.0254)*$C17</f>
        <v>#REF!</v>
      </c>
      <c r="AM17" s="441" t="e">
        <f>MAX(AM$15:AN$15)+IF($B$2="mil",1,0.0254)*DDR2Specs!$E$2</f>
        <v>#REF!</v>
      </c>
      <c r="AN17" s="441" t="e">
        <f>MIN(AM$15:AN$15)+IF($B$2="mil",1,0.0254)*DDR2Specs!$F$2</f>
        <v>#REF!</v>
      </c>
      <c r="AO17" s="18"/>
      <c r="AP17" s="534" t="e">
        <f>IF($AL17&lt;$AM17,$AM17-$AL17,"Pass")</f>
        <v>#REF!</v>
      </c>
      <c r="AQ17" s="447" t="e">
        <f>IF($AL17&gt;$AN17,$AL17-$AN17,"Pass")</f>
        <v>#REF!</v>
      </c>
      <c r="AR17" s="18"/>
      <c r="AS17" s="447" t="e">
        <f>IF((ABS($U17-$U18)&lt;=IF($B$2="mil",1,0.0254)*5),"Pass",ABS($U17-$U18))</f>
        <v>#REF!</v>
      </c>
      <c r="AT17" s="447" t="e">
        <f>IF((ABS($AD17-$AD18)&lt;=IF($B$2="mil",1,0.0254)*5),"Pass",ABS($AD17-$AD18))</f>
        <v>#REF!</v>
      </c>
      <c r="AU17" s="447" t="e">
        <f>IF((ABS($AL17-$AL18)&lt;=IF($B$2="mil",1,0.0254)*10),"Pass",ABS($AL17-$AL18))</f>
        <v>#REF!</v>
      </c>
      <c r="AV17" s="447" t="e">
        <f>IF($E17&lt;=IF($B$2="mil",1,0.0254)*50,"Pass",IF($B$2="mil",1,0.0254)*50-$E17)</f>
        <v>#REF!</v>
      </c>
      <c r="AW17" s="447" t="e">
        <f>IF($F17&lt;=IF($B$2="mil",1,0.0254)*500,"Pass",IF($B$2="mil",1,0.0254)*500-$F17)</f>
        <v>#REF!</v>
      </c>
      <c r="AX17" s="447" t="e">
        <f>IF($H17&lt;=IF($B$2="mil",1,0.0254)*0,"Pass",IF($B$2="mil",1,0.0254)*0-$H17)</f>
        <v>#REF!</v>
      </c>
      <c r="AY17" s="447" t="e">
        <f ca="1">CheckLength(IF($B$2="mil",1,0.0254)*750, IF($B$2="mil",1,0.0254)*125-J17, 0, I17,J17,0)</f>
        <v>#NAME?</v>
      </c>
      <c r="AZ17" s="447" t="e">
        <f>IF($J17&lt;=IF($B$2="mil",1,0.0254)*125,"Pass",IF($B$2="mil",1,0.0254)*125-$J17)</f>
        <v>#REF!</v>
      </c>
      <c r="BA17" s="447" t="e">
        <f>IF($L17&lt;=IF($B$2="mil",1,0.0254)*125,"Pass",IF($B$2="mil",1,0.0254)*125-$L17)</f>
        <v>#REF!</v>
      </c>
      <c r="BB17" s="447" t="e">
        <f>IF(($L17+$M17)&lt;=IF($B$2="mil",1,0.0254)*1275,"Pass",IF($B$2="mil",1,0.0254)*1275-($L17+M17))</f>
        <v>#REF!</v>
      </c>
      <c r="BC17" s="447" t="e">
        <f>IF($N17&lt;=IF($B$2="mil",1,0.0254)*150,"Pass",IF($B$2="mil",1,0.0254)*150-$N17)</f>
        <v>#REF!</v>
      </c>
      <c r="BD17" s="447" t="e">
        <f>IF($O17&lt;=IF($B$2="mil",1,0.0254)*150,"Pass",IF($B$2="mil",1,0.0254)*150-$O17)</f>
        <v>#REF!</v>
      </c>
      <c r="BE17" s="445" t="e">
        <f>IF(MAX(N17:O17)-MIN(N17:O17)&lt;=IF($B$2="mil",1,0.0254)*50,"Pass",MAX(N17:O17)-MIN(N17:O17)-IF($B$2="mil",1,0.0254)*50)</f>
        <v>#REF!</v>
      </c>
      <c r="BF17" s="447" t="e">
        <f ca="1">CheckLength2(IF($B$2="mil",1,0.0254)*200,$N17,P17,0)</f>
        <v>#NAME?</v>
      </c>
      <c r="BG17" s="447" t="e">
        <f ca="1">CheckLength2(IF($B$2="mil",1,0.0254)*200,$O17,Q17,0)</f>
        <v>#NAME?</v>
      </c>
      <c r="BH17" s="447" t="e">
        <f>IF(AND($S17&gt;=IF($B$2="mil",1,0.0254)*500, $S17&lt;=IF($B$2="mil",1,0.0254)*4000),"Pass",IF($B$2="mil",1,0.0254)*4000-$S17)</f>
        <v>#REF!</v>
      </c>
      <c r="BI17" s="447" t="e">
        <f>IF(AND($U17&gt;=IF($B$2="mil",1,0.0254)*500, $U17&lt;=IF($B$2="mil",1,0.0254)*4750),"Pass",IF($B$2="mil",1,0.0254)*4750-$U17)</f>
        <v>#REF!</v>
      </c>
      <c r="BJ17" s="447" t="e">
        <f>IF(AND($AC17&gt;=IF($B$2="mil",1,0.0254)*500, $AC17&lt;=IF($B$2="mil",1,0.0254)*5500),"Pass",IF($B$2="mil",1,0.0254)*5500-$AC17)</f>
        <v>#REF!</v>
      </c>
      <c r="BK17" s="447" t="e">
        <f>IF(AND($AD17&gt;=IF($B$2="mil",1,0.0254)*500, $AD17&lt;=IF($B$2="mil",1,0.0254)*6000),"Pass",IF($B$2="mil",1,0.0254)*6000-$AD17)</f>
        <v>#REF!</v>
      </c>
      <c r="BL17" s="18"/>
      <c r="BM17" s="2" t="e">
        <f ca="1">IF(AND(AV17="Pass",BI17="Pass",AX17="Pass",AW17="Pass",BH17="Pass",Z17="Pass",AA17="Pass",BG17="Pass",BB17="Pass",BC17="Pass",BD17="Pass",BE17="Pass",BF17="Pass",BA17="Pass",AZ17="Pass",AY17="Pass",AP17="Pass",AQ17="Pass",AS17="Pass",AT17="Pass",AU17="Pass",BJ17="Pass",BK17="Pass",AH17="Pass",AI17="Pass"),"Pass","Fail")</f>
        <v>#REF!</v>
      </c>
    </row>
    <row r="18" spans="1:65" s="2" customFormat="1" x14ac:dyDescent="0.2">
      <c r="A18" s="578" t="s">
        <v>143</v>
      </c>
      <c r="B18" s="573" t="s">
        <v>505</v>
      </c>
      <c r="C18" s="562">
        <v>606.61417322834643</v>
      </c>
      <c r="D18" s="16"/>
      <c r="E18" s="17">
        <v>22.63</v>
      </c>
      <c r="F18" s="17">
        <v>0</v>
      </c>
      <c r="G18">
        <v>1735.91</v>
      </c>
      <c r="H18">
        <v>0</v>
      </c>
      <c r="I18">
        <v>827.77</v>
      </c>
      <c r="J18">
        <v>45.74</v>
      </c>
      <c r="K18" s="17">
        <v>40</v>
      </c>
      <c r="L18">
        <v>90.75</v>
      </c>
      <c r="M18">
        <v>1046</v>
      </c>
      <c r="N18" s="271">
        <v>0</v>
      </c>
      <c r="O18" s="271">
        <v>0</v>
      </c>
      <c r="P18">
        <v>137.94</v>
      </c>
      <c r="Q18">
        <v>131.16</v>
      </c>
      <c r="R18" s="58"/>
      <c r="S18" s="441">
        <f xml:space="preserve"> E18+F18+G18+H18</f>
        <v>1758.5400000000002</v>
      </c>
      <c r="T18" s="533"/>
      <c r="U18" s="441" t="e">
        <f>S18+IF($B$2="mil",1,0.0254)*C18</f>
        <v>#REF!</v>
      </c>
      <c r="V18" s="533"/>
      <c r="W18" s="441" t="e">
        <f>MAX(W$5:X$5)+IF($B$2="mil",1,0.0254)*DDR2Specs!$B$2</f>
        <v>#REF!</v>
      </c>
      <c r="X18" s="441" t="e">
        <f>MIN(W$5:X$5)+IF($B$2="mil",1,0.0254)*DDR2Specs!$C$2</f>
        <v>#REF!</v>
      </c>
      <c r="Y18" s="533"/>
      <c r="Z18" s="534" t="e">
        <f>IF($U18&lt;$W18,$W18-$U18,"Pass")</f>
        <v>#REF!</v>
      </c>
      <c r="AA18" s="447" t="e">
        <f>IF($U18&gt;$X18,$U18-$X18,"Pass")</f>
        <v>#REF!</v>
      </c>
      <c r="AB18" s="18"/>
      <c r="AC18" s="441">
        <f>SUM(E18:G18,I18:N18,P18)</f>
        <v>3946.7400000000002</v>
      </c>
      <c r="AD18" s="441" t="e">
        <f>AC18+IF($B$2="mil",1,0.0254)*$C18</f>
        <v>#REF!</v>
      </c>
      <c r="AE18" s="441" t="e">
        <f>MAX(AE$15:AF$15)+IF($B$2="mil",1,0.0254)*DDR2Specs!$E$2</f>
        <v>#REF!</v>
      </c>
      <c r="AF18" s="441" t="e">
        <f>MIN(AE$15:AF$15)+IF($B$2="mil",1,0.0254)*DDR2Specs!$F$2</f>
        <v>#REF!</v>
      </c>
      <c r="AG18" s="18"/>
      <c r="AH18" s="534" t="e">
        <f>IF($AD18&lt;$AE18,$AE18-$AD18,"Pass")</f>
        <v>#REF!</v>
      </c>
      <c r="AI18" s="447" t="e">
        <f>IF($AD18&gt;$AF18,$AD18-$AF18,"Pass")</f>
        <v>#REF!</v>
      </c>
      <c r="AJ18" s="18"/>
      <c r="AK18" s="441">
        <f>SUM(E18:G18,I18:M18,O18,Q18)</f>
        <v>3939.96</v>
      </c>
      <c r="AL18" s="441" t="e">
        <f>AK18+IF($B$2="mil",1,0.0254)*$C18</f>
        <v>#REF!</v>
      </c>
      <c r="AM18" s="441" t="e">
        <f>MAX(AM$15:AN$15)+IF($B$2="mil",1,0.0254)*DDR2Specs!$E$2</f>
        <v>#REF!</v>
      </c>
      <c r="AN18" s="441" t="e">
        <f>MIN(AM$15:AN$15)+IF($B$2="mil",1,0.0254)*DDR2Specs!$F$2</f>
        <v>#REF!</v>
      </c>
      <c r="AO18" s="18"/>
      <c r="AP18" s="534" t="e">
        <f>IF($AL18&lt;$AM18,$AM18-$AL18,"Pass")</f>
        <v>#REF!</v>
      </c>
      <c r="AQ18" s="447" t="e">
        <f>IF($AL18&gt;$AN18,$AL18-$AN18,"Pass")</f>
        <v>#REF!</v>
      </c>
      <c r="AR18" s="18"/>
      <c r="AS18" s="447" t="e">
        <f>IF((ABS($U18-$U17)&lt;=IF($B$2="mil",1,0.0254)*5),"Pass",ABS($U18-$U17))</f>
        <v>#REF!</v>
      </c>
      <c r="AT18" s="447" t="e">
        <f>IF((ABS($AD18-$AD17)&lt;=IF($B$2="mil",1,0.0254)*5),"Pass",ABS($AD18-$AD17))</f>
        <v>#REF!</v>
      </c>
      <c r="AU18" s="447" t="e">
        <f>IF((ABS($AL18-$AL17)&lt;=IF($B$2="mil",1,0.0254)*10),"Pass",ABS($AL18-$AL17))</f>
        <v>#REF!</v>
      </c>
      <c r="AV18" s="447" t="e">
        <f>IF($E18&lt;=IF($B$2="mil",1,0.0254)*50,"Pass",IF($B$2="mil",1,0.0254)*50-$E18)</f>
        <v>#REF!</v>
      </c>
      <c r="AW18" s="447" t="e">
        <f>IF($F18&lt;=IF($B$2="mil",1,0.0254)*500,"Pass",IF($B$2="mil",1,0.0254)*500-$F18)</f>
        <v>#REF!</v>
      </c>
      <c r="AX18" s="447" t="e">
        <f>IF($H18&lt;=IF($B$2="mil",1,0.0254)*0,"Pass",IF($B$2="mil",1,0.0254)*0-$H18)</f>
        <v>#REF!</v>
      </c>
      <c r="AY18" s="447" t="e">
        <f ca="1">CheckLength(IF($B$2="mil",1,0.0254)*750, IF($B$2="mil",1,0.0254)*125-J18, 0, I18,J18,0)</f>
        <v>#NAME?</v>
      </c>
      <c r="AZ18" s="447" t="e">
        <f>IF($J18&lt;=IF($B$2="mil",1,0.0254)*125,"Pass",IF($B$2="mil",1,0.0254)*125-$J18)</f>
        <v>#REF!</v>
      </c>
      <c r="BA18" s="447" t="e">
        <f>IF($L18&lt;=IF($B$2="mil",1,0.0254)*125,"Pass",IF($B$2="mil",1,0.0254)*125-$L18)</f>
        <v>#REF!</v>
      </c>
      <c r="BB18" s="447" t="e">
        <f>IF(($L18+$M18)&lt;=IF($B$2="mil",1,0.0254)*1275,"Pass",IF($B$2="mil",1,0.0254)*1275-($L18+M18))</f>
        <v>#REF!</v>
      </c>
      <c r="BC18" s="447" t="e">
        <f>IF($N18&lt;=IF($B$2="mil",1,0.0254)*150,"Pass",IF($B$2="mil",1,0.0254)*150-$N18)</f>
        <v>#REF!</v>
      </c>
      <c r="BD18" s="447" t="e">
        <f>IF($O18&lt;=IF($B$2="mil",1,0.0254)*150,"Pass",IF($B$2="mil",1,0.0254)*150-$O18)</f>
        <v>#REF!</v>
      </c>
      <c r="BE18" s="445" t="e">
        <f>IF(MAX(N18:O18)-MIN(N18:O18)&lt;=IF($B$2="mil",1,0.0254)*50,"Pass",MAX(N18:O18)-MIN(N18:O18)-IF($B$2="mil",1,0.0254)*50)</f>
        <v>#REF!</v>
      </c>
      <c r="BF18" s="447" t="e">
        <f ca="1">CheckLength2(IF($B$2="mil",1,0.0254)*200,$N18,P18,0)</f>
        <v>#NAME?</v>
      </c>
      <c r="BG18" s="447" t="e">
        <f ca="1">CheckLength2(IF($B$2="mil",1,0.0254)*200,$O18,Q18,0)</f>
        <v>#NAME?</v>
      </c>
      <c r="BH18" s="447" t="e">
        <f>IF(AND($S18&gt;=IF($B$2="mil",1,0.0254)*500, $S18&lt;=IF($B$2="mil",1,0.0254)*4000),"Pass",IF($B$2="mil",1,0.0254)*4000-$S18)</f>
        <v>#REF!</v>
      </c>
      <c r="BI18" s="447" t="e">
        <f>IF(AND($U18&gt;=IF($B$2="mil",1,0.0254)*500, $U18&lt;=IF($B$2="mil",1,0.0254)*4750),"Pass",IF($B$2="mil",1,0.0254)*4750-$U18)</f>
        <v>#REF!</v>
      </c>
      <c r="BJ18" s="447" t="e">
        <f>IF(AND($AC18&gt;=IF($B$2="mil",1,0.0254)*500, $AC18&lt;=IF($B$2="mil",1,0.0254)*5500),"Pass",IF($B$2="mil",1,0.0254)*5500-$AC18)</f>
        <v>#REF!</v>
      </c>
      <c r="BK18" s="447" t="e">
        <f>IF(AND($AD18&gt;=IF($B$2="mil",1,0.0254)*500, $AD18&lt;=IF($B$2="mil",1,0.0254)*6000),"Pass",IF($B$2="mil",1,0.0254)*6000-$AD18)</f>
        <v>#REF!</v>
      </c>
      <c r="BL18" s="18"/>
      <c r="BM18" s="2" t="e">
        <f ca="1">IF(AND(AV18="Pass",BI18="Pass",AX18="Pass",AW18="Pass",BH18="Pass",Z18="Pass",AA18="Pass",BG18="Pass",BB18="Pass",BC18="Pass",BD18="Pass",BE18="Pass",BF18="Pass",BA18="Pass",AZ18="Pass",AY18="Pass",AP18="Pass",AQ18="Pass",AS18="Pass",AT18="Pass",AU18="Pass",BJ18="Pass",BK18="Pass",AH18="Pass",AI18="Pass"),"Pass","Fail")</f>
        <v>#REF!</v>
      </c>
    </row>
    <row r="19" spans="1:65" s="2" customFormat="1" x14ac:dyDescent="0.2">
      <c r="A19" s="6" t="s">
        <v>297</v>
      </c>
      <c r="B19" s="558"/>
      <c r="C19" s="559"/>
      <c r="D19" s="8"/>
      <c r="E19" s="258"/>
      <c r="F19" s="258"/>
      <c r="G19" s="258"/>
      <c r="H19" s="258"/>
      <c r="I19" s="258"/>
      <c r="J19" s="262"/>
      <c r="K19" s="8"/>
      <c r="L19" s="262"/>
      <c r="M19" s="262"/>
      <c r="N19" s="262"/>
      <c r="O19" s="262"/>
      <c r="P19" s="262"/>
      <c r="Q19" s="262"/>
      <c r="R19" s="8"/>
      <c r="S19" s="7"/>
      <c r="T19" s="8"/>
      <c r="U19" s="42"/>
      <c r="V19" s="8"/>
      <c r="W19" s="8"/>
      <c r="X19" s="8"/>
      <c r="Y19" s="8"/>
      <c r="Z19" s="8"/>
      <c r="AA19" s="8"/>
      <c r="AB19" s="8"/>
      <c r="AC19" s="7"/>
      <c r="AD19" s="42"/>
      <c r="AE19" s="8"/>
      <c r="AF19" s="13"/>
      <c r="AG19" s="8"/>
      <c r="AH19" s="13"/>
      <c r="AI19" s="13"/>
      <c r="AJ19" s="8"/>
      <c r="AK19" s="7"/>
      <c r="AL19" s="42"/>
      <c r="AM19" s="8"/>
      <c r="AN19" s="13"/>
      <c r="AO19" s="8"/>
      <c r="AP19" s="13"/>
      <c r="AQ19" s="13"/>
      <c r="AR19" s="8"/>
      <c r="AS19" s="13"/>
      <c r="AT19" s="13"/>
      <c r="AU19" s="13"/>
      <c r="AV19" s="13"/>
      <c r="AW19" s="13"/>
      <c r="AX19" s="13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10"/>
    </row>
    <row r="20" spans="1:65" s="2" customFormat="1" x14ac:dyDescent="0.2">
      <c r="A20" s="579" t="s">
        <v>72</v>
      </c>
      <c r="B20" s="580"/>
      <c r="C20" s="574"/>
      <c r="D20" s="44"/>
      <c r="E20" s="259"/>
      <c r="F20" s="259"/>
      <c r="G20" s="259"/>
      <c r="H20" s="259"/>
      <c r="I20" s="259"/>
      <c r="J20" s="263"/>
      <c r="K20" s="43"/>
      <c r="L20" s="263"/>
      <c r="M20" s="263"/>
      <c r="N20" s="263"/>
      <c r="O20" s="263"/>
      <c r="P20" s="263"/>
      <c r="Q20" s="263"/>
      <c r="R20" s="43"/>
      <c r="S20" s="67"/>
      <c r="T20" s="44"/>
      <c r="U20" s="54"/>
      <c r="V20" s="485"/>
      <c r="W20" s="145"/>
      <c r="X20" s="486"/>
      <c r="Y20" s="44"/>
      <c r="Z20" s="54"/>
      <c r="AA20" s="54"/>
      <c r="AB20" s="485"/>
      <c r="AC20" s="67"/>
      <c r="AD20" s="485" t="s">
        <v>275</v>
      </c>
      <c r="AE20" s="487" t="e">
        <f>MIN('DDR2 Clocks - 4L'!$O$9:$O$10)</f>
        <v>#REF!</v>
      </c>
      <c r="AF20" s="486" t="e">
        <f>MAX('DDR2 Clocks - 4L'!$O$9:$O$10)</f>
        <v>#REF!</v>
      </c>
      <c r="AG20" s="54"/>
      <c r="AH20" s="54"/>
      <c r="AI20" s="54"/>
      <c r="AJ20" s="485"/>
      <c r="AK20" s="67"/>
      <c r="AL20" s="485" t="s">
        <v>333</v>
      </c>
      <c r="AM20" s="487" t="e">
        <f>MIN('DDR2 Clocks - 4L'!$O$11:$O$12)</f>
        <v>#REF!</v>
      </c>
      <c r="AN20" s="486" t="e">
        <f>MAX('DDR2 Clocks - 4L'!$O$11:$O$12)</f>
        <v>#REF!</v>
      </c>
      <c r="AO20" s="54"/>
      <c r="AP20" s="54"/>
      <c r="AQ20" s="54"/>
      <c r="AR20" s="485"/>
      <c r="AS20" s="54"/>
      <c r="AT20" s="54"/>
      <c r="AU20" s="54"/>
      <c r="AV20" s="54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8"/>
    </row>
    <row r="21" spans="1:65" s="2" customFormat="1" x14ac:dyDescent="0.2">
      <c r="A21" s="6" t="s">
        <v>298</v>
      </c>
      <c r="B21" s="581"/>
      <c r="C21" s="575"/>
      <c r="D21" s="51"/>
      <c r="E21" s="260"/>
      <c r="F21" s="260"/>
      <c r="G21" s="260"/>
      <c r="H21" s="260"/>
      <c r="I21" s="260"/>
      <c r="J21" s="264"/>
      <c r="K21" s="45"/>
      <c r="L21" s="264"/>
      <c r="M21" s="264"/>
      <c r="N21" s="264"/>
      <c r="O21" s="264"/>
      <c r="P21" s="264"/>
      <c r="Q21" s="264"/>
      <c r="R21" s="45"/>
      <c r="S21" s="45"/>
      <c r="T21" s="45"/>
      <c r="U21" s="45"/>
      <c r="V21" s="45"/>
      <c r="W21" s="45"/>
      <c r="X21" s="55"/>
      <c r="Y21" s="45"/>
      <c r="Z21" s="55"/>
      <c r="AA21" s="55"/>
      <c r="AB21" s="55"/>
      <c r="AC21" s="45"/>
      <c r="AD21" s="45"/>
      <c r="AE21" s="55"/>
      <c r="AF21" s="56"/>
      <c r="AG21" s="55"/>
      <c r="AH21" s="45"/>
      <c r="AI21" s="45"/>
      <c r="AJ21" s="55"/>
      <c r="AK21" s="45"/>
      <c r="AL21" s="45"/>
      <c r="AM21" s="55"/>
      <c r="AN21" s="56"/>
      <c r="AO21" s="55"/>
      <c r="AP21" s="45"/>
      <c r="AQ21" s="45"/>
      <c r="AR21" s="55"/>
      <c r="AS21" s="45"/>
      <c r="AT21" s="45"/>
      <c r="AU21" s="45"/>
      <c r="AV21" s="45"/>
      <c r="AW21" s="55"/>
      <c r="AX21" s="55"/>
      <c r="AY21" s="55"/>
      <c r="AZ21" s="55"/>
      <c r="BA21" s="55"/>
      <c r="BB21" s="55"/>
      <c r="BC21" s="55"/>
      <c r="BD21" s="55"/>
      <c r="BE21" s="55"/>
      <c r="BF21" s="55"/>
      <c r="BG21" s="55"/>
      <c r="BH21" s="55"/>
      <c r="BI21" s="55"/>
      <c r="BJ21" s="55"/>
      <c r="BK21" s="55"/>
      <c r="BL21" s="57"/>
    </row>
    <row r="22" spans="1:65" s="2" customFormat="1" x14ac:dyDescent="0.2">
      <c r="A22" s="578" t="s">
        <v>144</v>
      </c>
      <c r="B22" s="582" t="s">
        <v>499</v>
      </c>
      <c r="C22" s="562">
        <v>765.98425196850394</v>
      </c>
      <c r="D22" s="16"/>
      <c r="E22" s="17">
        <v>22.63</v>
      </c>
      <c r="F22" s="17">
        <v>0</v>
      </c>
      <c r="G22">
        <v>1458.18</v>
      </c>
      <c r="H22">
        <v>0</v>
      </c>
      <c r="I22">
        <v>727.96</v>
      </c>
      <c r="J22">
        <v>85.78</v>
      </c>
      <c r="K22" s="17">
        <v>40</v>
      </c>
      <c r="L22">
        <v>44.57</v>
      </c>
      <c r="M22">
        <v>925.63</v>
      </c>
      <c r="N22" s="271">
        <v>0</v>
      </c>
      <c r="O22" s="271">
        <v>0</v>
      </c>
      <c r="P22">
        <v>106.1</v>
      </c>
      <c r="Q22">
        <v>103.95</v>
      </c>
      <c r="R22" s="58"/>
      <c r="S22" s="441">
        <f xml:space="preserve"> E22+F22+G22+H22</f>
        <v>1480.8100000000002</v>
      </c>
      <c r="T22" s="533"/>
      <c r="U22" s="441" t="e">
        <f>S22+IF($B$2="mil",1,0.0254)*C22</f>
        <v>#REF!</v>
      </c>
      <c r="V22" s="533"/>
      <c r="W22" s="441" t="e">
        <f>MAX(W$5:X$5)+IF($B$2="mil",1,0.0254)*DDR2Specs!$B$2</f>
        <v>#REF!</v>
      </c>
      <c r="X22" s="441" t="e">
        <f>MIN(W$5:X$5)+IF($B$2="mil",1,0.0254)*DDR2Specs!$C$2</f>
        <v>#REF!</v>
      </c>
      <c r="Y22" s="533"/>
      <c r="Z22" s="534" t="e">
        <f>IF($U22&lt;$W22,$W22-$U22,"Pass")</f>
        <v>#REF!</v>
      </c>
      <c r="AA22" s="447" t="e">
        <f>IF($U22&gt;$X22,$U22-$X22,"Pass")</f>
        <v>#REF!</v>
      </c>
      <c r="AB22" s="18"/>
      <c r="AC22" s="441">
        <f>SUM(E22:G22,I22:N22,P22)</f>
        <v>3410.8500000000008</v>
      </c>
      <c r="AD22" s="441" t="e">
        <f>AC22+IF($B$2="mil",1,0.0254)*$C22</f>
        <v>#REF!</v>
      </c>
      <c r="AE22" s="441" t="e">
        <f>MAX(AE$20:AF$20)+IF($B$2="mil",1,0.0254)*DDR2Specs!$E$2</f>
        <v>#REF!</v>
      </c>
      <c r="AF22" s="441" t="e">
        <f>MIN(AE$20:AF$20)+IF($B$2="mil",1,0.0254)*DDR2Specs!$F$2</f>
        <v>#REF!</v>
      </c>
      <c r="AG22" s="18"/>
      <c r="AH22" s="534" t="e">
        <f>IF($AD22&lt;$AE22,$AE22-$AD22,"Pass")</f>
        <v>#REF!</v>
      </c>
      <c r="AI22" s="447" t="e">
        <f>IF($AD22&gt;$AF22,$AD22-$AF22,"Pass")</f>
        <v>#REF!</v>
      </c>
      <c r="AJ22" s="18"/>
      <c r="AK22" s="441">
        <f>SUM(E22:G22,I22:M22,O22,Q22)</f>
        <v>3408.7000000000007</v>
      </c>
      <c r="AL22" s="441" t="e">
        <f>AK22+IF($B$2="mil",1,0.0254)*$C22</f>
        <v>#REF!</v>
      </c>
      <c r="AM22" s="441" t="e">
        <f>MAX(AM$20:AN$20)+IF($B$2="mil",1,0.0254)*DDR2Specs!$E$2</f>
        <v>#REF!</v>
      </c>
      <c r="AN22" s="441" t="e">
        <f>MIN(AM$20:AN$20)+IF($B$2="mil",1,0.0254)*DDR2Specs!$F$2</f>
        <v>#REF!</v>
      </c>
      <c r="AO22" s="18"/>
      <c r="AP22" s="534" t="e">
        <f>IF($AL22&lt;$AM22,$AM22-$AL22,"Pass")</f>
        <v>#REF!</v>
      </c>
      <c r="AQ22" s="447" t="e">
        <f>IF($AL22&gt;$AN22,$AL22-$AN22,"Pass")</f>
        <v>#REF!</v>
      </c>
      <c r="AR22" s="18"/>
      <c r="AS22" s="447" t="e">
        <f>IF((ABS($U22-$U23)&lt;=IF($B$2="mil",1,0.0254)*5),"Pass",ABS($U22-$U23))</f>
        <v>#REF!</v>
      </c>
      <c r="AT22" s="447" t="e">
        <f>IF((ABS($AD22-$AD23)&lt;=IF($B$2="mil",1,0.0254)*5),"Pass",ABS($AD22-$AD23))</f>
        <v>#REF!</v>
      </c>
      <c r="AU22" s="447" t="e">
        <f>IF((ABS($AL22-$AL23)&lt;=IF($B$2="mil",1,0.0254)*10),"Pass",ABS($AL22-$AL23))</f>
        <v>#REF!</v>
      </c>
      <c r="AV22" s="447" t="e">
        <f>IF($E22&lt;=IF($B$2="mil",1,0.0254)*50,"Pass",IF($B$2="mil",1,0.0254)*50-$E22)</f>
        <v>#REF!</v>
      </c>
      <c r="AW22" s="447" t="e">
        <f>IF($F22&lt;=IF($B$2="mil",1,0.0254)*500,"Pass",IF($B$2="mil",1,0.0254)*500-$F22)</f>
        <v>#REF!</v>
      </c>
      <c r="AX22" s="447" t="e">
        <f>IF($H22&lt;=IF($B$2="mil",1,0.0254)*0,"Pass",IF($B$2="mil",1,0.0254)*0-$H22)</f>
        <v>#REF!</v>
      </c>
      <c r="AY22" s="447" t="e">
        <f ca="1">CheckLength(IF($B$2="mil",1,0.0254)*750, IF($B$2="mil",1,0.0254)*125-J22, 0, I22,J22,0)</f>
        <v>#NAME?</v>
      </c>
      <c r="AZ22" s="447" t="e">
        <f>IF($J22&lt;=IF($B$2="mil",1,0.0254)*125,"Pass",IF($B$2="mil",1,0.0254)*125-$J22)</f>
        <v>#REF!</v>
      </c>
      <c r="BA22" s="447" t="e">
        <f>IF($L22&lt;=IF($B$2="mil",1,0.0254)*125,"Pass",IF($B$2="mil",1,0.0254)*125-$L22)</f>
        <v>#REF!</v>
      </c>
      <c r="BB22" s="447" t="e">
        <f>IF(($L22+$M22)&lt;=IF($B$2="mil",1,0.0254)*1275,"Pass",IF($B$2="mil",1,0.0254)*1275-($L22+M22))</f>
        <v>#REF!</v>
      </c>
      <c r="BC22" s="447" t="e">
        <f>IF($N22&lt;=IF($B$2="mil",1,0.0254)*150,"Pass",IF($B$2="mil",1,0.0254)*150-$N22)</f>
        <v>#REF!</v>
      </c>
      <c r="BD22" s="447" t="e">
        <f>IF($O22&lt;=IF($B$2="mil",1,0.0254)*150,"Pass",IF($B$2="mil",1,0.0254)*150-$O22)</f>
        <v>#REF!</v>
      </c>
      <c r="BE22" s="445" t="e">
        <f>IF(MAX(N22:O22)-MIN(N22:O22)&lt;=IF($B$2="mil",1,0.0254)*50,"Pass",MAX(N22:O22)-MIN(N22:O22)-IF($B$2="mil",1,0.0254)*50)</f>
        <v>#REF!</v>
      </c>
      <c r="BF22" s="447" t="e">
        <f ca="1">CheckLength2(IF($B$2="mil",1,0.0254)*200,$N22,P22,0)</f>
        <v>#NAME?</v>
      </c>
      <c r="BG22" s="447" t="e">
        <f ca="1">CheckLength2(IF($B$2="mil",1,0.0254)*200,$O22,Q22,0)</f>
        <v>#NAME?</v>
      </c>
      <c r="BH22" s="447" t="e">
        <f>IF(AND($S22&gt;=IF($B$2="mil",1,0.0254)*500, $S22&lt;=IF($B$2="mil",1,0.0254)*4000),"Pass",IF($B$2="mil",1,0.0254)*4000-$S22)</f>
        <v>#REF!</v>
      </c>
      <c r="BI22" s="447" t="e">
        <f>IF(AND($U22&gt;=IF($B$2="mil",1,0.0254)*500, $U22&lt;=IF($B$2="mil",1,0.0254)*4750),"Pass",IF($B$2="mil",1,0.0254)*4750-$U22)</f>
        <v>#REF!</v>
      </c>
      <c r="BJ22" s="447" t="e">
        <f>IF(AND($AC22&gt;=IF($B$2="mil",1,0.0254)*500, $AC22&lt;=IF($B$2="mil",1,0.0254)*5500),"Pass",IF($B$2="mil",1,0.0254)*5500-$AC22)</f>
        <v>#REF!</v>
      </c>
      <c r="BK22" s="447" t="e">
        <f>IF(AND($AD22&gt;=IF($B$2="mil",1,0.0254)*500, $AD22&lt;=IF($B$2="mil",1,0.0254)*6000),"Pass",IF($B$2="mil",1,0.0254)*6000-$AD22)</f>
        <v>#REF!</v>
      </c>
      <c r="BL22" s="18"/>
      <c r="BM22" s="2" t="e">
        <f ca="1">IF(AND(AV22="Pass",BI22="Pass",AX22="Pass",AW22="Pass",BH22="Pass",Z22="Pass",AA22="Pass",BG22="Pass",BB22="Pass",BC22="Pass",BD22="Pass",BE22="Pass",BF22="Pass",BA22="Pass",AZ22="Pass",AY22="Pass",AP22="Pass",AQ22="Pass",AS22="Pass",AT22="Pass",AU22="Pass",BJ22="Pass",BK22="Pass",AH22="Pass",AI22="Pass"),"Pass","Fail")</f>
        <v>#REF!</v>
      </c>
    </row>
    <row r="23" spans="1:65" s="2" customFormat="1" x14ac:dyDescent="0.2">
      <c r="A23" s="578" t="s">
        <v>145</v>
      </c>
      <c r="B23" s="573" t="s">
        <v>506</v>
      </c>
      <c r="C23" s="562">
        <v>765.98425196850394</v>
      </c>
      <c r="D23" s="16"/>
      <c r="E23" s="17">
        <v>22.63</v>
      </c>
      <c r="F23" s="17">
        <v>0</v>
      </c>
      <c r="G23">
        <v>1454.23</v>
      </c>
      <c r="H23">
        <v>0</v>
      </c>
      <c r="I23">
        <v>743.27</v>
      </c>
      <c r="J23">
        <v>44.57</v>
      </c>
      <c r="K23" s="17">
        <v>40</v>
      </c>
      <c r="L23">
        <v>85.78</v>
      </c>
      <c r="M23">
        <v>904.6</v>
      </c>
      <c r="N23" s="271">
        <v>0</v>
      </c>
      <c r="O23" s="271">
        <v>0</v>
      </c>
      <c r="P23">
        <v>113.96</v>
      </c>
      <c r="Q23">
        <v>112.04</v>
      </c>
      <c r="R23" s="58"/>
      <c r="S23" s="441">
        <f xml:space="preserve"> E23+F23+G23+H23</f>
        <v>1476.8600000000001</v>
      </c>
      <c r="T23" s="533"/>
      <c r="U23" s="441" t="e">
        <f>S23+IF($B$2="mil",1,0.0254)*C23</f>
        <v>#REF!</v>
      </c>
      <c r="V23" s="533"/>
      <c r="W23" s="441" t="e">
        <f>MAX(W$5:X$5)+IF($B$2="mil",1,0.0254)*DDR2Specs!$B$2</f>
        <v>#REF!</v>
      </c>
      <c r="X23" s="441" t="e">
        <f>MIN(W$5:X$5)+IF($B$2="mil",1,0.0254)*DDR2Specs!$C$2</f>
        <v>#REF!</v>
      </c>
      <c r="Y23" s="533"/>
      <c r="Z23" s="534" t="e">
        <f>IF($U23&lt;$W23,$W23-$U23,"Pass")</f>
        <v>#REF!</v>
      </c>
      <c r="AA23" s="447" t="e">
        <f>IF($U23&gt;$X23,$U23-$X23,"Pass")</f>
        <v>#REF!</v>
      </c>
      <c r="AB23" s="18"/>
      <c r="AC23" s="441">
        <f>SUM(E23:G23,I23:N23,P23)</f>
        <v>3409.0400000000004</v>
      </c>
      <c r="AD23" s="441" t="e">
        <f>AC23+IF($B$2="mil",1,0.0254)*$C23</f>
        <v>#REF!</v>
      </c>
      <c r="AE23" s="441" t="e">
        <f>MAX(AE$20:AF$20)+IF($B$2="mil",1,0.0254)*DDR2Specs!$E$2</f>
        <v>#REF!</v>
      </c>
      <c r="AF23" s="441" t="e">
        <f>MIN(AE$20:AF$20)+IF($B$2="mil",1,0.0254)*DDR2Specs!$F$2</f>
        <v>#REF!</v>
      </c>
      <c r="AG23" s="18"/>
      <c r="AH23" s="534" t="e">
        <f>IF($AD23&lt;$AE23,$AE23-$AD23,"Pass")</f>
        <v>#REF!</v>
      </c>
      <c r="AI23" s="447" t="e">
        <f>IF($AD23&gt;$AF23,$AD23-$AF23,"Pass")</f>
        <v>#REF!</v>
      </c>
      <c r="AJ23" s="18"/>
      <c r="AK23" s="441">
        <f>SUM(E23:G23,I23:M23,O23,Q23)</f>
        <v>3407.1200000000003</v>
      </c>
      <c r="AL23" s="441" t="e">
        <f>AK23+IF($B$2="mil",1,0.0254)*$C23</f>
        <v>#REF!</v>
      </c>
      <c r="AM23" s="441" t="e">
        <f>MAX(AM$20:AN$20)+IF($B$2="mil",1,0.0254)*DDR2Specs!$E$2</f>
        <v>#REF!</v>
      </c>
      <c r="AN23" s="441" t="e">
        <f>MIN(AM$20:AN$20)+IF($B$2="mil",1,0.0254)*DDR2Specs!$F$2</f>
        <v>#REF!</v>
      </c>
      <c r="AO23" s="18"/>
      <c r="AP23" s="534" t="e">
        <f>IF($AL23&lt;$AM23,$AM23-$AL23,"Pass")</f>
        <v>#REF!</v>
      </c>
      <c r="AQ23" s="447" t="e">
        <f>IF($AL23&gt;$AN23,$AL23-$AN23,"Pass")</f>
        <v>#REF!</v>
      </c>
      <c r="AR23" s="18"/>
      <c r="AS23" s="447" t="e">
        <f>IF((ABS($U23-$U22)&lt;=IF($B$2="mil",1,0.0254)*5),"Pass",ABS($U23-$U22))</f>
        <v>#REF!</v>
      </c>
      <c r="AT23" s="447" t="e">
        <f>IF((ABS($AD23-$AD22)&lt;=IF($B$2="mil",1,0.0254)*5),"Pass",ABS($AD23-$AD22))</f>
        <v>#REF!</v>
      </c>
      <c r="AU23" s="447" t="e">
        <f>IF((ABS($AL23-$AL22)&lt;=IF($B$2="mil",1,0.0254)*10),"Pass",ABS($AL23-$AL22))</f>
        <v>#REF!</v>
      </c>
      <c r="AV23" s="447" t="e">
        <f>IF($E23&lt;=IF($B$2="mil",1,0.0254)*50,"Pass",IF($B$2="mil",1,0.0254)*50-$E23)</f>
        <v>#REF!</v>
      </c>
      <c r="AW23" s="447" t="e">
        <f>IF($F23&lt;=IF($B$2="mil",1,0.0254)*500,"Pass",IF($B$2="mil",1,0.0254)*500-$F23)</f>
        <v>#REF!</v>
      </c>
      <c r="AX23" s="447" t="e">
        <f>IF($H23&lt;=IF($B$2="mil",1,0.0254)*0,"Pass",IF($B$2="mil",1,0.0254)*0-$H23)</f>
        <v>#REF!</v>
      </c>
      <c r="AY23" s="447" t="e">
        <f ca="1">CheckLength(IF($B$2="mil",1,0.0254)*750, IF($B$2="mil",1,0.0254)*125-J23, 0, I23,J23,0)</f>
        <v>#NAME?</v>
      </c>
      <c r="AZ23" s="447" t="e">
        <f>IF($J23&lt;=IF($B$2="mil",1,0.0254)*125,"Pass",IF($B$2="mil",1,0.0254)*125-$J23)</f>
        <v>#REF!</v>
      </c>
      <c r="BA23" s="447" t="e">
        <f>IF($L23&lt;=IF($B$2="mil",1,0.0254)*125,"Pass",IF($B$2="mil",1,0.0254)*125-$L23)</f>
        <v>#REF!</v>
      </c>
      <c r="BB23" s="447" t="e">
        <f>IF(($L23+$M23)&lt;=IF($B$2="mil",1,0.0254)*1275,"Pass",IF($B$2="mil",1,0.0254)*1275-($L23+M23))</f>
        <v>#REF!</v>
      </c>
      <c r="BC23" s="447" t="e">
        <f>IF($N23&lt;=IF($B$2="mil",1,0.0254)*150,"Pass",IF($B$2="mil",1,0.0254)*150-$N23)</f>
        <v>#REF!</v>
      </c>
      <c r="BD23" s="447" t="e">
        <f>IF($O23&lt;=IF($B$2="mil",1,0.0254)*150,"Pass",IF($B$2="mil",1,0.0254)*150-$O23)</f>
        <v>#REF!</v>
      </c>
      <c r="BE23" s="445" t="e">
        <f>IF(MAX(N23:O23)-MIN(N23:O23)&lt;=IF($B$2="mil",1,0.0254)*50,"Pass",MAX(N23:O23)-MIN(N23:O23)-IF($B$2="mil",1,0.0254)*50)</f>
        <v>#REF!</v>
      </c>
      <c r="BF23" s="447" t="e">
        <f ca="1">CheckLength2(IF($B$2="mil",1,0.0254)*200,$N23,P23,0)</f>
        <v>#NAME?</v>
      </c>
      <c r="BG23" s="447" t="e">
        <f ca="1">CheckLength2(IF($B$2="mil",1,0.0254)*200,$O23,Q23,0)</f>
        <v>#NAME?</v>
      </c>
      <c r="BH23" s="447" t="e">
        <f>IF(AND($S23&gt;=IF($B$2="mil",1,0.0254)*500, $S23&lt;=IF($B$2="mil",1,0.0254)*4000),"Pass",IF($B$2="mil",1,0.0254)*4000-$S23)</f>
        <v>#REF!</v>
      </c>
      <c r="BI23" s="447" t="e">
        <f>IF(AND($U23&gt;=IF($B$2="mil",1,0.0254)*500, $U23&lt;=IF($B$2="mil",1,0.0254)*4750),"Pass",IF($B$2="mil",1,0.0254)*4750-$U23)</f>
        <v>#REF!</v>
      </c>
      <c r="BJ23" s="447" t="e">
        <f>IF(AND($AC23&gt;=IF($B$2="mil",1,0.0254)*500, $AC23&lt;=IF($B$2="mil",1,0.0254)*5500),"Pass",IF($B$2="mil",1,0.0254)*5500-$AC23)</f>
        <v>#REF!</v>
      </c>
      <c r="BK23" s="447" t="e">
        <f>IF(AND($AD23&gt;=IF($B$2="mil",1,0.0254)*500, $AD23&lt;=IF($B$2="mil",1,0.0254)*6000),"Pass",IF($B$2="mil",1,0.0254)*6000-$AD23)</f>
        <v>#REF!</v>
      </c>
      <c r="BL23" s="18"/>
      <c r="BM23" s="2" t="e">
        <f ca="1">IF(AND(AV23="Pass",BI23="Pass",AX23="Pass",AW23="Pass",BH23="Pass",Z23="Pass",AA23="Pass",BG23="Pass",BB23="Pass",BC23="Pass",BD23="Pass",BE23="Pass",BF23="Pass",BA23="Pass",AZ23="Pass",AY23="Pass",AP23="Pass",AQ23="Pass",AS23="Pass",AT23="Pass",AU23="Pass",BJ23="Pass",BK23="Pass",AH23="Pass",AI23="Pass"),"Pass","Fail")</f>
        <v>#REF!</v>
      </c>
    </row>
    <row r="24" spans="1:65" s="2" customFormat="1" x14ac:dyDescent="0.2">
      <c r="A24" s="6" t="s">
        <v>297</v>
      </c>
      <c r="B24" s="558"/>
      <c r="C24" s="559"/>
      <c r="D24" s="8"/>
      <c r="E24" s="258"/>
      <c r="F24" s="258"/>
      <c r="G24" s="258"/>
      <c r="H24" s="258"/>
      <c r="I24" s="258"/>
      <c r="J24" s="262"/>
      <c r="K24" s="8"/>
      <c r="L24" s="262"/>
      <c r="M24" s="262"/>
      <c r="N24" s="262"/>
      <c r="O24" s="262"/>
      <c r="P24" s="262"/>
      <c r="Q24" s="262"/>
      <c r="R24" s="8"/>
      <c r="S24" s="7"/>
      <c r="T24" s="8"/>
      <c r="U24" s="42"/>
      <c r="V24" s="8"/>
      <c r="W24" s="8"/>
      <c r="X24" s="8"/>
      <c r="Y24" s="8"/>
      <c r="Z24" s="8"/>
      <c r="AA24" s="8"/>
      <c r="AB24" s="8"/>
      <c r="AC24" s="7"/>
      <c r="AD24" s="42"/>
      <c r="AE24" s="8"/>
      <c r="AF24" s="13"/>
      <c r="AG24" s="8"/>
      <c r="AH24" s="13"/>
      <c r="AI24" s="13"/>
      <c r="AJ24" s="8"/>
      <c r="AK24" s="7"/>
      <c r="AL24" s="42"/>
      <c r="AM24" s="8"/>
      <c r="AN24" s="13"/>
      <c r="AO24" s="8"/>
      <c r="AP24" s="13"/>
      <c r="AQ24" s="13"/>
      <c r="AR24" s="8"/>
      <c r="AS24" s="13"/>
      <c r="AT24" s="13"/>
      <c r="AU24" s="13"/>
      <c r="AV24" s="13"/>
      <c r="AW24" s="13"/>
      <c r="AX24" s="13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10"/>
    </row>
    <row r="25" spans="1:65" s="2" customFormat="1" x14ac:dyDescent="0.2">
      <c r="A25" s="579" t="s">
        <v>72</v>
      </c>
      <c r="B25" s="580"/>
      <c r="C25" s="574"/>
      <c r="D25" s="44"/>
      <c r="E25" s="259"/>
      <c r="F25" s="259"/>
      <c r="G25" s="259"/>
      <c r="H25" s="259"/>
      <c r="I25" s="259"/>
      <c r="J25" s="263"/>
      <c r="K25" s="43"/>
      <c r="L25" s="263"/>
      <c r="M25" s="263"/>
      <c r="N25" s="263"/>
      <c r="O25" s="263"/>
      <c r="P25" s="263"/>
      <c r="Q25" s="263"/>
      <c r="R25" s="43"/>
      <c r="S25" s="67"/>
      <c r="T25" s="44"/>
      <c r="U25" s="54"/>
      <c r="V25" s="485"/>
      <c r="W25" s="145"/>
      <c r="X25" s="486"/>
      <c r="Y25" s="44"/>
      <c r="Z25" s="54"/>
      <c r="AA25" s="54"/>
      <c r="AB25" s="485"/>
      <c r="AC25" s="67"/>
      <c r="AD25" s="485" t="s">
        <v>274</v>
      </c>
      <c r="AE25" s="487" t="e">
        <f>MIN('DDR2 Clocks - 4L'!$O$13:$O$14)</f>
        <v>#REF!</v>
      </c>
      <c r="AF25" s="486" t="e">
        <f>MAX('DDR2 Clocks - 4L'!$O$13:$O$14)</f>
        <v>#REF!</v>
      </c>
      <c r="AG25" s="54"/>
      <c r="AH25" s="54"/>
      <c r="AI25" s="54"/>
      <c r="AJ25" s="485"/>
      <c r="AK25" s="67"/>
      <c r="AL25" s="485" t="s">
        <v>334</v>
      </c>
      <c r="AM25" s="487" t="e">
        <f>MIN('DDR2 Clocks - 4L'!$O$15:$O$16)</f>
        <v>#REF!</v>
      </c>
      <c r="AN25" s="486" t="e">
        <f>MAX('DDR2 Clocks - 4L'!$O$15:$O$16)</f>
        <v>#REF!</v>
      </c>
      <c r="AO25" s="54"/>
      <c r="AP25" s="54"/>
      <c r="AQ25" s="54"/>
      <c r="AR25" s="485"/>
      <c r="AS25" s="54"/>
      <c r="AT25" s="54"/>
      <c r="AU25" s="54"/>
      <c r="AV25" s="54"/>
      <c r="AW25" s="43"/>
      <c r="AX25" s="43"/>
      <c r="AY25" s="43"/>
      <c r="AZ25" s="43"/>
      <c r="BA25" s="43"/>
      <c r="BB25" s="43"/>
      <c r="BC25" s="43"/>
      <c r="BD25" s="43"/>
      <c r="BE25" s="43"/>
      <c r="BF25" s="43"/>
      <c r="BG25" s="43"/>
      <c r="BH25" s="43"/>
      <c r="BI25" s="43"/>
      <c r="BJ25" s="43"/>
      <c r="BK25" s="43"/>
      <c r="BL25" s="48"/>
    </row>
    <row r="26" spans="1:65" s="2" customFormat="1" x14ac:dyDescent="0.2">
      <c r="A26" s="6" t="s">
        <v>298</v>
      </c>
      <c r="B26" s="581"/>
      <c r="C26" s="575"/>
      <c r="D26" s="51"/>
      <c r="E26" s="260"/>
      <c r="F26" s="260"/>
      <c r="G26" s="260"/>
      <c r="H26" s="260"/>
      <c r="I26" s="260"/>
      <c r="J26" s="264"/>
      <c r="K26" s="45"/>
      <c r="L26" s="264"/>
      <c r="M26" s="264"/>
      <c r="N26" s="264"/>
      <c r="O26" s="264"/>
      <c r="P26" s="264"/>
      <c r="Q26" s="264"/>
      <c r="R26" s="45"/>
      <c r="S26" s="45"/>
      <c r="T26" s="45"/>
      <c r="U26" s="45"/>
      <c r="V26" s="45"/>
      <c r="W26" s="45"/>
      <c r="X26" s="55"/>
      <c r="Y26" s="45"/>
      <c r="Z26" s="55"/>
      <c r="AA26" s="55"/>
      <c r="AB26" s="55"/>
      <c r="AC26" s="45"/>
      <c r="AD26" s="45"/>
      <c r="AE26" s="55"/>
      <c r="AF26" s="56"/>
      <c r="AG26" s="55"/>
      <c r="AH26" s="45"/>
      <c r="AI26" s="45"/>
      <c r="AJ26" s="55"/>
      <c r="AK26" s="45"/>
      <c r="AL26" s="45"/>
      <c r="AM26" s="55"/>
      <c r="AN26" s="56"/>
      <c r="AO26" s="55"/>
      <c r="AP26" s="45"/>
      <c r="AQ26" s="45"/>
      <c r="AR26" s="55"/>
      <c r="AS26" s="45"/>
      <c r="AT26" s="45"/>
      <c r="AU26" s="45"/>
      <c r="AV26" s="4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7"/>
    </row>
    <row r="27" spans="1:65" s="2" customFormat="1" x14ac:dyDescent="0.2">
      <c r="A27" s="578" t="s">
        <v>146</v>
      </c>
      <c r="B27" s="573" t="s">
        <v>500</v>
      </c>
      <c r="C27" s="562">
        <v>838.58267716535443</v>
      </c>
      <c r="D27" s="16"/>
      <c r="E27" s="17">
        <v>22.63</v>
      </c>
      <c r="F27" s="17">
        <v>0</v>
      </c>
      <c r="G27">
        <v>1424.06</v>
      </c>
      <c r="H27">
        <v>0</v>
      </c>
      <c r="I27">
        <v>760.59</v>
      </c>
      <c r="J27">
        <v>86.47</v>
      </c>
      <c r="K27" s="17">
        <v>40</v>
      </c>
      <c r="L27">
        <v>86.47</v>
      </c>
      <c r="M27">
        <v>1121.94</v>
      </c>
      <c r="N27" s="271">
        <v>0</v>
      </c>
      <c r="O27" s="271">
        <v>0</v>
      </c>
      <c r="P27">
        <v>120.32</v>
      </c>
      <c r="Q27">
        <v>114.96</v>
      </c>
      <c r="R27" s="58"/>
      <c r="S27" s="441">
        <f xml:space="preserve"> E27+F27+G27+H27</f>
        <v>1446.69</v>
      </c>
      <c r="T27" s="533"/>
      <c r="U27" s="441" t="e">
        <f>S27+IF($B$2="mil",1,0.0254)*C27</f>
        <v>#REF!</v>
      </c>
      <c r="V27" s="533"/>
      <c r="W27" s="441" t="e">
        <f>MAX(W$5:X$5)+IF($B$2="mil",1,0.0254)*DDR2Specs!$B$2</f>
        <v>#REF!</v>
      </c>
      <c r="X27" s="441" t="e">
        <f>MIN(W$5:X$5)+IF($B$2="mil",1,0.0254)*DDR2Specs!$C$2</f>
        <v>#REF!</v>
      </c>
      <c r="Y27" s="533"/>
      <c r="Z27" s="534" t="e">
        <f>IF($U27&lt;$W27,$W27-$U27,"Pass")</f>
        <v>#REF!</v>
      </c>
      <c r="AA27" s="447" t="e">
        <f>IF($U27&gt;$X27,$U27-$X27,"Pass")</f>
        <v>#REF!</v>
      </c>
      <c r="AB27" s="18"/>
      <c r="AC27" s="441">
        <f>SUM(E27:G27,I27:N27,P27)</f>
        <v>3662.48</v>
      </c>
      <c r="AD27" s="441" t="e">
        <f>AC27+IF($B$2="mil",1,0.0254)*$C27</f>
        <v>#REF!</v>
      </c>
      <c r="AE27" s="441" t="e">
        <f>MAX(AE$25:AF$25)+IF($B$2="mil",1,0.0254)*DDR2Specs!$E$2</f>
        <v>#REF!</v>
      </c>
      <c r="AF27" s="441" t="e">
        <f>MIN(AE$25:AF$25)+IF($B$2="mil",1,0.0254)*DDR2Specs!$F$2</f>
        <v>#REF!</v>
      </c>
      <c r="AG27" s="18"/>
      <c r="AH27" s="534" t="e">
        <f>IF($AD27&lt;$AE27,$AE27-$AD27,"Pass")</f>
        <v>#REF!</v>
      </c>
      <c r="AI27" s="447" t="e">
        <f>IF($AD27&gt;$AF27,$AD27-$AF27,"Pass")</f>
        <v>#REF!</v>
      </c>
      <c r="AJ27" s="18"/>
      <c r="AK27" s="441">
        <f>SUM(E27:G27,I27:M27,O27,Q27)</f>
        <v>3657.12</v>
      </c>
      <c r="AL27" s="441" t="e">
        <f>AK27+IF($B$2="mil",1,0.0254)*$C27</f>
        <v>#REF!</v>
      </c>
      <c r="AM27" s="441" t="e">
        <f>MAX(AM$25:AN$25)+IF($B$2="mil",1,0.0254)*DDR2Specs!$E$2</f>
        <v>#REF!</v>
      </c>
      <c r="AN27" s="441" t="e">
        <f>MIN(AM$25:AN$25)+IF($B$2="mil",1,0.0254)*DDR2Specs!$F$2</f>
        <v>#REF!</v>
      </c>
      <c r="AO27" s="18"/>
      <c r="AP27" s="534" t="e">
        <f>IF($AL27&lt;$AM27,$AM27-$AL27,"Pass")</f>
        <v>#REF!</v>
      </c>
      <c r="AQ27" s="447" t="e">
        <f>IF($AL27&gt;$AN27,$AL27-$AN27,"Pass")</f>
        <v>#REF!</v>
      </c>
      <c r="AR27" s="18"/>
      <c r="AS27" s="447" t="e">
        <f>IF((ABS($U27-$U28)&lt;=IF($B$2="mil",1,0.0254)*5),"Pass",ABS($U27-$U28))</f>
        <v>#REF!</v>
      </c>
      <c r="AT27" s="447" t="e">
        <f>IF((ABS($AD27-$AD28)&lt;=IF($B$2="mil",1,0.0254)*5),"Pass",ABS($AD27-$AD28))</f>
        <v>#REF!</v>
      </c>
      <c r="AU27" s="447" t="e">
        <f>IF((ABS($AL27-$AL28)&lt;=IF($B$2="mil",1,0.0254)*10),"Pass",ABS($AL27-$AL28))</f>
        <v>#REF!</v>
      </c>
      <c r="AV27" s="447" t="e">
        <f>IF($E27&lt;=IF($B$2="mil",1,0.0254)*50,"Pass",IF($B$2="mil",1,0.0254)*50-$E27)</f>
        <v>#REF!</v>
      </c>
      <c r="AW27" s="447" t="e">
        <f>IF($F27&lt;=IF($B$2="mil",1,0.0254)*500,"Pass",IF($B$2="mil",1,0.0254)*500-$F27)</f>
        <v>#REF!</v>
      </c>
      <c r="AX27" s="447" t="e">
        <f>IF($H27&lt;=IF($B$2="mil",1,0.0254)*0,"Pass",IF($B$2="mil",1,0.0254)*0-$H27)</f>
        <v>#REF!</v>
      </c>
      <c r="AY27" s="447" t="e">
        <f ca="1">CheckLength(IF($B$2="mil",1,0.0254)*750, IF($B$2="mil",1,0.0254)*125-J27, 0, I27,J27,0)</f>
        <v>#NAME?</v>
      </c>
      <c r="AZ27" s="447" t="e">
        <f>IF($J27&lt;=IF($B$2="mil",1,0.0254)*125,"Pass",IF($B$2="mil",1,0.0254)*125-$J27)</f>
        <v>#REF!</v>
      </c>
      <c r="BA27" s="447" t="e">
        <f>IF($L27&lt;=IF($B$2="mil",1,0.0254)*125,"Pass",IF($B$2="mil",1,0.0254)*125-$L27)</f>
        <v>#REF!</v>
      </c>
      <c r="BB27" s="447" t="e">
        <f>IF(($L27+$M27)&lt;=IF($B$2="mil",1,0.0254)*1275,"Pass",IF($B$2="mil",1,0.0254)*1275-($L27+M27))</f>
        <v>#REF!</v>
      </c>
      <c r="BC27" s="447" t="e">
        <f>IF($N27&lt;=IF($B$2="mil",1,0.0254)*150,"Pass",IF($B$2="mil",1,0.0254)*150-$N27)</f>
        <v>#REF!</v>
      </c>
      <c r="BD27" s="447" t="e">
        <f>IF($O27&lt;=IF($B$2="mil",1,0.0254)*150,"Pass",IF($B$2="mil",1,0.0254)*150-$O27)</f>
        <v>#REF!</v>
      </c>
      <c r="BE27" s="445" t="e">
        <f>IF(MAX(N27:O27)-MIN(N27:O27)&lt;=IF($B$2="mil",1,0.0254)*50,"Pass",MAX(N27:O27)-MIN(N27:O27)-IF($B$2="mil",1,0.0254)*50)</f>
        <v>#REF!</v>
      </c>
      <c r="BF27" s="447" t="e">
        <f ca="1">CheckLength2(IF($B$2="mil",1,0.0254)*200,$N27,P27,0)</f>
        <v>#NAME?</v>
      </c>
      <c r="BG27" s="447" t="e">
        <f ca="1">CheckLength2(IF($B$2="mil",1,0.0254)*200,$O27,Q27,0)</f>
        <v>#NAME?</v>
      </c>
      <c r="BH27" s="447" t="e">
        <f>IF(AND($S27&gt;=IF($B$2="mil",1,0.0254)*500, $S27&lt;=IF($B$2="mil",1,0.0254)*4000),"Pass",IF($B$2="mil",1,0.0254)*4000-$S27)</f>
        <v>#REF!</v>
      </c>
      <c r="BI27" s="447" t="e">
        <f>IF(AND($U27&gt;=IF($B$2="mil",1,0.0254)*500, $U27&lt;=IF($B$2="mil",1,0.0254)*4750),"Pass",IF($B$2="mil",1,0.0254)*4750-$U27)</f>
        <v>#REF!</v>
      </c>
      <c r="BJ27" s="447" t="e">
        <f>IF(AND($AC27&gt;=IF($B$2="mil",1,0.0254)*500, $AC27&lt;=IF($B$2="mil",1,0.0254)*5500),"Pass",IF($B$2="mil",1,0.0254)*5500-$AC27)</f>
        <v>#REF!</v>
      </c>
      <c r="BK27" s="447" t="e">
        <f>IF(AND($AD27&gt;=IF($B$2="mil",1,0.0254)*500, $AD27&lt;=IF($B$2="mil",1,0.0254)*6000),"Pass",IF($B$2="mil",1,0.0254)*6000-$AD27)</f>
        <v>#REF!</v>
      </c>
      <c r="BL27" s="18"/>
      <c r="BM27" s="2" t="e">
        <f ca="1">IF(AND(AV27="Pass",BI27="Pass",AX27="Pass",AW27="Pass",BH27="Pass",Z27="Pass",AA27="Pass",BG27="Pass",BB27="Pass",BC27="Pass",BD27="Pass",BE27="Pass",BF27="Pass",BA27="Pass",AZ27="Pass",AY27="Pass",AP27="Pass",AQ27="Pass",AS27="Pass",AT27="Pass",AU27="Pass",BJ27="Pass",BK27="Pass",AH27="Pass",AI27="Pass"),"Pass","Fail")</f>
        <v>#REF!</v>
      </c>
    </row>
    <row r="28" spans="1:65" s="2" customFormat="1" x14ac:dyDescent="0.2">
      <c r="A28" s="578" t="s">
        <v>147</v>
      </c>
      <c r="B28" s="573" t="s">
        <v>507</v>
      </c>
      <c r="C28" s="562">
        <v>838.58267716535443</v>
      </c>
      <c r="D28" s="16"/>
      <c r="E28" s="17">
        <v>22.63</v>
      </c>
      <c r="F28" s="17">
        <v>0</v>
      </c>
      <c r="G28">
        <v>1424</v>
      </c>
      <c r="H28">
        <v>0</v>
      </c>
      <c r="I28">
        <v>758.25</v>
      </c>
      <c r="J28">
        <v>85.78</v>
      </c>
      <c r="K28" s="17">
        <v>40</v>
      </c>
      <c r="L28">
        <v>85.78</v>
      </c>
      <c r="M28">
        <v>1119.94</v>
      </c>
      <c r="N28" s="271">
        <v>0</v>
      </c>
      <c r="O28" s="271">
        <v>0</v>
      </c>
      <c r="P28">
        <v>129.34</v>
      </c>
      <c r="Q28">
        <v>129.84</v>
      </c>
      <c r="R28" s="58"/>
      <c r="S28" s="441">
        <f xml:space="preserve"> E28+F28+G28+H28</f>
        <v>1446.63</v>
      </c>
      <c r="T28" s="533"/>
      <c r="U28" s="441" t="e">
        <f>S28+IF($B$2="mil",1,0.0254)*C28</f>
        <v>#REF!</v>
      </c>
      <c r="V28" s="533"/>
      <c r="W28" s="441" t="e">
        <f>MAX(W$5:X$5)+IF($B$2="mil",1,0.0254)*DDR2Specs!$B$2</f>
        <v>#REF!</v>
      </c>
      <c r="X28" s="441" t="e">
        <f>MIN(W$5:X$5)+IF($B$2="mil",1,0.0254)*DDR2Specs!$C$2</f>
        <v>#REF!</v>
      </c>
      <c r="Y28" s="533"/>
      <c r="Z28" s="534" t="e">
        <f>IF($U28&lt;$W28,$W28-$U28,"Pass")</f>
        <v>#REF!</v>
      </c>
      <c r="AA28" s="447" t="e">
        <f>IF($U28&gt;$X28,$U28-$X28,"Pass")</f>
        <v>#REF!</v>
      </c>
      <c r="AB28" s="18"/>
      <c r="AC28" s="441">
        <f>SUM(E28:G28,I28:N28,P28)</f>
        <v>3665.7200000000007</v>
      </c>
      <c r="AD28" s="441" t="e">
        <f>AC28+IF($B$2="mil",1,0.0254)*$C28</f>
        <v>#REF!</v>
      </c>
      <c r="AE28" s="441" t="e">
        <f>MAX(AE$25:AF$25)+IF($B$2="mil",1,0.0254)*DDR2Specs!$E$2</f>
        <v>#REF!</v>
      </c>
      <c r="AF28" s="441" t="e">
        <f>MIN(AE$25:AF$25)+IF($B$2="mil",1,0.0254)*DDR2Specs!$F$2</f>
        <v>#REF!</v>
      </c>
      <c r="AG28" s="18"/>
      <c r="AH28" s="534" t="e">
        <f>IF($AD28&lt;$AE28,$AE28-$AD28,"Pass")</f>
        <v>#REF!</v>
      </c>
      <c r="AI28" s="447" t="e">
        <f>IF($AD28&gt;$AF28,$AD28-$AF28,"Pass")</f>
        <v>#REF!</v>
      </c>
      <c r="AJ28" s="18"/>
      <c r="AK28" s="441">
        <f>SUM(E28:G28,I28:M28,O28,Q28)</f>
        <v>3666.2200000000007</v>
      </c>
      <c r="AL28" s="441" t="e">
        <f>AK28+IF($B$2="mil",1,0.0254)*$C28</f>
        <v>#REF!</v>
      </c>
      <c r="AM28" s="441" t="e">
        <f>MAX(AM$25:AN$25)+IF($B$2="mil",1,0.0254)*DDR2Specs!$E$2</f>
        <v>#REF!</v>
      </c>
      <c r="AN28" s="441" t="e">
        <f>MIN(AM$25:AN$25)+IF($B$2="mil",1,0.0254)*DDR2Specs!$F$2</f>
        <v>#REF!</v>
      </c>
      <c r="AO28" s="18"/>
      <c r="AP28" s="534" t="e">
        <f>IF($AL28&lt;$AM28,$AM28-$AL28,"Pass")</f>
        <v>#REF!</v>
      </c>
      <c r="AQ28" s="447" t="e">
        <f>IF($AL28&gt;$AN28,$AL28-$AN28,"Pass")</f>
        <v>#REF!</v>
      </c>
      <c r="AR28" s="18"/>
      <c r="AS28" s="447" t="e">
        <f>IF((ABS($U28-$U27)&lt;=IF($B$2="mil",1,0.0254)*5),"Pass",ABS($U28-$U27))</f>
        <v>#REF!</v>
      </c>
      <c r="AT28" s="447" t="e">
        <f>IF((ABS($AD28-$AD27)&lt;=IF($B$2="mil",1,0.0254)*5),"Pass",ABS($AD28-$AD27))</f>
        <v>#REF!</v>
      </c>
      <c r="AU28" s="447" t="e">
        <f>IF((ABS($AL28-$AL27)&lt;=IF($B$2="mil",1,0.0254)*10),"Pass",ABS($AL28-$AL27))</f>
        <v>#REF!</v>
      </c>
      <c r="AV28" s="447" t="e">
        <f>IF($E28&lt;=IF($B$2="mil",1,0.0254)*50,"Pass",IF($B$2="mil",1,0.0254)*50-$E28)</f>
        <v>#REF!</v>
      </c>
      <c r="AW28" s="447" t="e">
        <f>IF($F28&lt;=IF($B$2="mil",1,0.0254)*500,"Pass",IF($B$2="mil",1,0.0254)*500-$F28)</f>
        <v>#REF!</v>
      </c>
      <c r="AX28" s="447" t="e">
        <f>IF($H28&lt;=IF($B$2="mil",1,0.0254)*0,"Pass",IF($B$2="mil",1,0.0254)*0-$H28)</f>
        <v>#REF!</v>
      </c>
      <c r="AY28" s="447" t="e">
        <f ca="1">CheckLength(IF($B$2="mil",1,0.0254)*750, IF($B$2="mil",1,0.0254)*125-J28, 0, I28,J28,0)</f>
        <v>#NAME?</v>
      </c>
      <c r="AZ28" s="447" t="e">
        <f>IF($J28&lt;=IF($B$2="mil",1,0.0254)*125,"Pass",IF($B$2="mil",1,0.0254)*125-$J28)</f>
        <v>#REF!</v>
      </c>
      <c r="BA28" s="447" t="e">
        <f>IF($L28&lt;=IF($B$2="mil",1,0.0254)*125,"Pass",IF($B$2="mil",1,0.0254)*125-$L28)</f>
        <v>#REF!</v>
      </c>
      <c r="BB28" s="447" t="e">
        <f>IF(($L28+$M28)&lt;=IF($B$2="mil",1,0.0254)*1275,"Pass",IF($B$2="mil",1,0.0254)*1275-($L28+M28))</f>
        <v>#REF!</v>
      </c>
      <c r="BC28" s="447" t="e">
        <f>IF($N28&lt;=IF($B$2="mil",1,0.0254)*150,"Pass",IF($B$2="mil",1,0.0254)*150-$N28)</f>
        <v>#REF!</v>
      </c>
      <c r="BD28" s="447" t="e">
        <f>IF($O28&lt;=IF($B$2="mil",1,0.0254)*150,"Pass",IF($B$2="mil",1,0.0254)*150-$O28)</f>
        <v>#REF!</v>
      </c>
      <c r="BE28" s="445" t="e">
        <f>IF(MAX(N28:O28)-MIN(N28:O28)&lt;=IF($B$2="mil",1,0.0254)*50,"Pass",MAX(N28:O28)-MIN(N28:O28)-IF($B$2="mil",1,0.0254)*50)</f>
        <v>#REF!</v>
      </c>
      <c r="BF28" s="447" t="e">
        <f ca="1">CheckLength2(IF($B$2="mil",1,0.0254)*200,$N28,P28,0)</f>
        <v>#NAME?</v>
      </c>
      <c r="BG28" s="447" t="e">
        <f ca="1">CheckLength2(IF($B$2="mil",1,0.0254)*200,$O28,Q28,0)</f>
        <v>#NAME?</v>
      </c>
      <c r="BH28" s="447" t="e">
        <f>IF(AND($S28&gt;=IF($B$2="mil",1,0.0254)*500, $S28&lt;=IF($B$2="mil",1,0.0254)*4000),"Pass",IF($B$2="mil",1,0.0254)*4000-$S28)</f>
        <v>#REF!</v>
      </c>
      <c r="BI28" s="447" t="e">
        <f>IF(AND($U28&gt;=IF($B$2="mil",1,0.0254)*500, $U28&lt;=IF($B$2="mil",1,0.0254)*4750),"Pass",IF($B$2="mil",1,0.0254)*4750-$U28)</f>
        <v>#REF!</v>
      </c>
      <c r="BJ28" s="447" t="e">
        <f>IF(AND($AC28&gt;=IF($B$2="mil",1,0.0254)*500, $AC28&lt;=IF($B$2="mil",1,0.0254)*5500),"Pass",IF($B$2="mil",1,0.0254)*5500-$AC28)</f>
        <v>#REF!</v>
      </c>
      <c r="BK28" s="447" t="e">
        <f>IF(AND($AD28&gt;=IF($B$2="mil",1,0.0254)*500, $AD28&lt;=IF($B$2="mil",1,0.0254)*6000),"Pass",IF($B$2="mil",1,0.0254)*6000-$AD28)</f>
        <v>#REF!</v>
      </c>
      <c r="BL28" s="18"/>
      <c r="BM28" s="2" t="e">
        <f ca="1">IF(AND(AV28="Pass",BI28="Pass",AX28="Pass",AW28="Pass",BH28="Pass",Z28="Pass",AA28="Pass",BG28="Pass",BB28="Pass",BC28="Pass",BD28="Pass",BE28="Pass",BF28="Pass",BA28="Pass",AZ28="Pass",AY28="Pass",AP28="Pass",AQ28="Pass",AS28="Pass",AT28="Pass",AU28="Pass",BJ28="Pass",BK28="Pass",AH28="Pass",AI28="Pass"),"Pass","Fail")</f>
        <v>#REF!</v>
      </c>
    </row>
    <row r="29" spans="1:65" s="2" customFormat="1" x14ac:dyDescent="0.2">
      <c r="A29" s="6" t="s">
        <v>297</v>
      </c>
      <c r="B29" s="558"/>
      <c r="C29" s="559"/>
      <c r="D29" s="8"/>
      <c r="E29" s="258"/>
      <c r="F29" s="258"/>
      <c r="G29" s="258"/>
      <c r="H29" s="258"/>
      <c r="I29" s="258"/>
      <c r="J29" s="262"/>
      <c r="K29" s="8"/>
      <c r="L29" s="262"/>
      <c r="M29" s="262"/>
      <c r="N29" s="262"/>
      <c r="O29" s="262"/>
      <c r="P29" s="262"/>
      <c r="Q29" s="262"/>
      <c r="R29" s="8"/>
      <c r="S29" s="7"/>
      <c r="T29" s="8"/>
      <c r="U29" s="42"/>
      <c r="V29" s="8"/>
      <c r="W29" s="8"/>
      <c r="X29" s="8"/>
      <c r="Y29" s="8"/>
      <c r="Z29" s="8"/>
      <c r="AA29" s="8"/>
      <c r="AB29" s="8"/>
      <c r="AC29" s="7"/>
      <c r="AD29" s="42"/>
      <c r="AE29" s="8"/>
      <c r="AF29" s="13"/>
      <c r="AG29" s="8"/>
      <c r="AH29" s="13"/>
      <c r="AI29" s="13"/>
      <c r="AJ29" s="8"/>
      <c r="AK29" s="7"/>
      <c r="AL29" s="42"/>
      <c r="AM29" s="8"/>
      <c r="AN29" s="13"/>
      <c r="AO29" s="8"/>
      <c r="AP29" s="13"/>
      <c r="AQ29" s="13"/>
      <c r="AR29" s="8"/>
      <c r="AS29" s="13"/>
      <c r="AT29" s="13"/>
      <c r="AU29" s="13"/>
      <c r="AV29" s="13"/>
      <c r="AW29" s="13"/>
      <c r="AX29" s="13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10"/>
    </row>
    <row r="30" spans="1:65" s="2" customFormat="1" x14ac:dyDescent="0.2">
      <c r="A30" s="579" t="s">
        <v>72</v>
      </c>
      <c r="B30" s="580"/>
      <c r="C30" s="574"/>
      <c r="D30" s="44"/>
      <c r="E30" s="259"/>
      <c r="F30" s="259"/>
      <c r="G30" s="259"/>
      <c r="H30" s="259"/>
      <c r="I30" s="259"/>
      <c r="J30" s="263"/>
      <c r="K30" s="43"/>
      <c r="L30" s="263"/>
      <c r="M30" s="263"/>
      <c r="N30" s="263"/>
      <c r="O30" s="263"/>
      <c r="P30" s="263"/>
      <c r="Q30" s="263"/>
      <c r="R30" s="43"/>
      <c r="S30" s="67"/>
      <c r="T30" s="44"/>
      <c r="U30" s="54"/>
      <c r="V30" s="485"/>
      <c r="W30" s="145"/>
      <c r="X30" s="486"/>
      <c r="Y30" s="44"/>
      <c r="Z30" s="54"/>
      <c r="AA30" s="54"/>
      <c r="AB30" s="485"/>
      <c r="AC30" s="67"/>
      <c r="AD30" s="485" t="s">
        <v>274</v>
      </c>
      <c r="AE30" s="487" t="e">
        <f>MIN('DDR2 Clocks - 4L'!$O$13:$O$14)</f>
        <v>#REF!</v>
      </c>
      <c r="AF30" s="486" t="e">
        <f>MAX('DDR2 Clocks - 4L'!$O$13:$O$14)</f>
        <v>#REF!</v>
      </c>
      <c r="AG30" s="54"/>
      <c r="AH30" s="54"/>
      <c r="AI30" s="54"/>
      <c r="AJ30" s="485"/>
      <c r="AK30" s="67"/>
      <c r="AL30" s="485" t="s">
        <v>334</v>
      </c>
      <c r="AM30" s="487" t="e">
        <f>MIN('DDR2 Clocks - 4L'!$O$15:$O$16)</f>
        <v>#REF!</v>
      </c>
      <c r="AN30" s="486" t="e">
        <f>MAX('DDR2 Clocks - 4L'!$O$15:$O$16)</f>
        <v>#REF!</v>
      </c>
      <c r="AO30" s="54"/>
      <c r="AP30" s="54"/>
      <c r="AQ30" s="54"/>
      <c r="AR30" s="485"/>
      <c r="AS30" s="54"/>
      <c r="AT30" s="54"/>
      <c r="AU30" s="54"/>
      <c r="AV30" s="54"/>
      <c r="AW30" s="43"/>
      <c r="AX30" s="43"/>
      <c r="AY30" s="43"/>
      <c r="AZ30" s="43"/>
      <c r="BA30" s="43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8"/>
    </row>
    <row r="31" spans="1:65" s="2" customFormat="1" x14ac:dyDescent="0.2">
      <c r="A31" s="6" t="s">
        <v>298</v>
      </c>
      <c r="B31" s="581"/>
      <c r="C31" s="575"/>
      <c r="D31" s="51"/>
      <c r="E31" s="260"/>
      <c r="F31" s="260"/>
      <c r="G31" s="260"/>
      <c r="H31" s="260"/>
      <c r="I31" s="260"/>
      <c r="J31" s="264"/>
      <c r="K31" s="45"/>
      <c r="L31" s="264"/>
      <c r="M31" s="264"/>
      <c r="N31" s="264"/>
      <c r="O31" s="264"/>
      <c r="P31" s="264"/>
      <c r="Q31" s="264"/>
      <c r="R31" s="45"/>
      <c r="S31" s="45"/>
      <c r="T31" s="45"/>
      <c r="U31" s="45"/>
      <c r="V31" s="45"/>
      <c r="W31" s="45"/>
      <c r="X31" s="55"/>
      <c r="Y31" s="45"/>
      <c r="Z31" s="55"/>
      <c r="AA31" s="55"/>
      <c r="AB31" s="55"/>
      <c r="AC31" s="45"/>
      <c r="AD31" s="45"/>
      <c r="AE31" s="55"/>
      <c r="AF31" s="56"/>
      <c r="AG31" s="55"/>
      <c r="AH31" s="45"/>
      <c r="AI31" s="45"/>
      <c r="AJ31" s="55"/>
      <c r="AK31" s="45"/>
      <c r="AL31" s="45"/>
      <c r="AM31" s="55"/>
      <c r="AN31" s="56"/>
      <c r="AO31" s="55"/>
      <c r="AP31" s="45"/>
      <c r="AQ31" s="45"/>
      <c r="AR31" s="55"/>
      <c r="AS31" s="45"/>
      <c r="AT31" s="45"/>
      <c r="AU31" s="45"/>
      <c r="AV31" s="45"/>
      <c r="AW31" s="55"/>
      <c r="AX31" s="55"/>
      <c r="AY31" s="55"/>
      <c r="AZ31" s="55"/>
      <c r="BA31" s="55"/>
      <c r="BB31" s="55"/>
      <c r="BC31" s="55"/>
      <c r="BD31" s="55"/>
      <c r="BE31" s="55"/>
      <c r="BF31" s="55"/>
      <c r="BG31" s="55"/>
      <c r="BH31" s="55"/>
      <c r="BI31" s="55"/>
      <c r="BJ31" s="55"/>
      <c r="BK31" s="55"/>
      <c r="BL31" s="57"/>
    </row>
    <row r="32" spans="1:65" s="2" customFormat="1" x14ac:dyDescent="0.2">
      <c r="A32" s="578" t="s">
        <v>148</v>
      </c>
      <c r="B32" s="573" t="s">
        <v>501</v>
      </c>
      <c r="C32" s="562">
        <v>583.81889763779532</v>
      </c>
      <c r="D32" s="16"/>
      <c r="E32" s="17">
        <v>22.63</v>
      </c>
      <c r="F32" s="17">
        <v>0</v>
      </c>
      <c r="G32">
        <v>1820.69</v>
      </c>
      <c r="H32">
        <v>0</v>
      </c>
      <c r="I32">
        <v>801.32</v>
      </c>
      <c r="J32">
        <v>31.64</v>
      </c>
      <c r="K32" s="17">
        <v>40</v>
      </c>
      <c r="L32">
        <v>42.23</v>
      </c>
      <c r="M32">
        <v>1166.42</v>
      </c>
      <c r="N32" s="271">
        <v>0</v>
      </c>
      <c r="O32" s="271">
        <v>0</v>
      </c>
      <c r="P32">
        <v>111.16</v>
      </c>
      <c r="Q32">
        <v>111.91</v>
      </c>
      <c r="R32" s="58"/>
      <c r="S32" s="441">
        <f xml:space="preserve"> E32+F32+G32+H32</f>
        <v>1843.3200000000002</v>
      </c>
      <c r="T32" s="533"/>
      <c r="U32" s="441" t="e">
        <f>S32+IF($B$2="mil",1,0.0254)*C32</f>
        <v>#REF!</v>
      </c>
      <c r="V32" s="533"/>
      <c r="W32" s="441" t="e">
        <f>MAX(W$5:X$5)+IF($B$2="mil",1,0.0254)*DDR2Specs!$B$2</f>
        <v>#REF!</v>
      </c>
      <c r="X32" s="441" t="e">
        <f>MIN(W$5:X$5)+IF($B$2="mil",1,0.0254)*DDR2Specs!$C$2</f>
        <v>#REF!</v>
      </c>
      <c r="Y32" s="533"/>
      <c r="Z32" s="534" t="e">
        <f>IF($U32&lt;$W32,$W32-$U32,"Pass")</f>
        <v>#REF!</v>
      </c>
      <c r="AA32" s="447" t="e">
        <f>IF($U32&gt;$X32,$U32-$X32,"Pass")</f>
        <v>#REF!</v>
      </c>
      <c r="AB32" s="18"/>
      <c r="AC32" s="441">
        <f>SUM(E32:G32,I32:N32,P32)</f>
        <v>4036.09</v>
      </c>
      <c r="AD32" s="441" t="e">
        <f>AC32+IF($B$2="mil",1,0.0254)*$C32</f>
        <v>#REF!</v>
      </c>
      <c r="AE32" s="441" t="e">
        <f>MAX(AE$30:AF$30)+IF($B$2="mil",1,0.0254)*DDR2Specs!$E$2</f>
        <v>#REF!</v>
      </c>
      <c r="AF32" s="441" t="e">
        <f>MIN(AE$30:AF$30)+IF($B$2="mil",1,0.0254)*DDR2Specs!$F$2</f>
        <v>#REF!</v>
      </c>
      <c r="AG32" s="18"/>
      <c r="AH32" s="534" t="e">
        <f>IF($AD32&lt;$AE32,$AE32-$AD32,"Pass")</f>
        <v>#REF!</v>
      </c>
      <c r="AI32" s="447" t="e">
        <f>IF($AD32&gt;$AF32,$AD32-$AF32,"Pass")</f>
        <v>#REF!</v>
      </c>
      <c r="AJ32" s="18"/>
      <c r="AK32" s="441">
        <f>SUM(E32:G32,I32:M32,O32,Q32)</f>
        <v>4036.84</v>
      </c>
      <c r="AL32" s="441" t="e">
        <f>AK32+IF($B$2="mil",1,0.0254)*$C32</f>
        <v>#REF!</v>
      </c>
      <c r="AM32" s="441" t="e">
        <f>MAX(AM$30:AN$30)+IF($B$2="mil",1,0.0254)*DDR2Specs!$E$2</f>
        <v>#REF!</v>
      </c>
      <c r="AN32" s="441" t="e">
        <f>MIN(AM$30:AN$30)+IF($B$2="mil",1,0.0254)*DDR2Specs!$F$2</f>
        <v>#REF!</v>
      </c>
      <c r="AO32" s="18"/>
      <c r="AP32" s="534" t="e">
        <f>IF($AL32&lt;$AM32,$AM32-$AL32,"Pass")</f>
        <v>#REF!</v>
      </c>
      <c r="AQ32" s="447" t="e">
        <f>IF($AL32&gt;$AN32,$AL32-$AN32,"Pass")</f>
        <v>#REF!</v>
      </c>
      <c r="AR32" s="18"/>
      <c r="AS32" s="447" t="e">
        <f>IF((ABS($U32-$U33)&lt;=IF($B$2="mil",1,0.0254)*5),"Pass",ABS($U32-$U33))</f>
        <v>#REF!</v>
      </c>
      <c r="AT32" s="447" t="e">
        <f>IF((ABS($AD32-$AD33)&lt;=IF($B$2="mil",1,0.0254)*5),"Pass",ABS($AD32-$AD33))</f>
        <v>#REF!</v>
      </c>
      <c r="AU32" s="447" t="e">
        <f>IF((ABS($AD32-$AD33)&lt;=IF($B$2="mil",1,0.0254)*10),"Pass",ABS($AD32-$AD33))</f>
        <v>#REF!</v>
      </c>
      <c r="AV32" s="447" t="e">
        <f>IF($E32&lt;=IF($B$2="mil",1,0.0254)*50,"Pass",IF($B$2="mil",1,0.0254)*50-$E32)</f>
        <v>#REF!</v>
      </c>
      <c r="AW32" s="447" t="e">
        <f>IF($F32&lt;=IF($B$2="mil",1,0.0254)*500,"Pass",IF($B$2="mil",1,0.0254)*500-$F32)</f>
        <v>#REF!</v>
      </c>
      <c r="AX32" s="447" t="e">
        <f>IF($H32&lt;=IF($B$2="mil",1,0.0254)*0,"Pass",IF($B$2="mil",1,0.0254)*0-$H32)</f>
        <v>#REF!</v>
      </c>
      <c r="AY32" s="447" t="e">
        <f ca="1">CheckLength(IF($B$2="mil",1,0.0254)*750, IF($B$2="mil",1,0.0254)*125-J32, 0, I32,J32,0)</f>
        <v>#NAME?</v>
      </c>
      <c r="AZ32" s="447" t="e">
        <f>IF($J32&lt;=IF($B$2="mil",1,0.0254)*125,"Pass",IF($B$2="mil",1,0.0254)*125-$J32)</f>
        <v>#REF!</v>
      </c>
      <c r="BA32" s="447" t="e">
        <f>IF($L32&lt;=IF($B$2="mil",1,0.0254)*125,"Pass",IF($B$2="mil",1,0.0254)*125-$L32)</f>
        <v>#REF!</v>
      </c>
      <c r="BB32" s="447" t="e">
        <f>IF(($L32+$M32)&lt;=IF($B$2="mil",1,0.0254)*1275,"Pass",IF($B$2="mil",1,0.0254)*1275-($L32+M32))</f>
        <v>#REF!</v>
      </c>
      <c r="BC32" s="447" t="e">
        <f>IF($N32&lt;=IF($B$2="mil",1,0.0254)*150,"Pass",IF($B$2="mil",1,0.0254)*150-$N32)</f>
        <v>#REF!</v>
      </c>
      <c r="BD32" s="447" t="e">
        <f>IF($O32&lt;=IF($B$2="mil",1,0.0254)*150,"Pass",IF($B$2="mil",1,0.0254)*150-$O32)</f>
        <v>#REF!</v>
      </c>
      <c r="BE32" s="445" t="e">
        <f>IF(MAX(N32:O32)-MIN(N32:O32)&lt;=IF($B$2="mil",1,0.0254)*50,"Pass",MAX(N32:O32)-MIN(N32:O32)-IF($B$2="mil",1,0.0254)*50)</f>
        <v>#REF!</v>
      </c>
      <c r="BF32" s="447" t="e">
        <f ca="1">CheckLength2(IF($B$2="mil",1,0.0254)*200,$N32,P32,0)</f>
        <v>#NAME?</v>
      </c>
      <c r="BG32" s="447" t="e">
        <f ca="1">CheckLength2(IF($B$2="mil",1,0.0254)*200,$O32,Q32,0)</f>
        <v>#NAME?</v>
      </c>
      <c r="BH32" s="447" t="e">
        <f>IF(AND($S32&gt;=IF($B$2="mil",1,0.0254)*500, $S32&lt;=IF($B$2="mil",1,0.0254)*4000),"Pass",IF($B$2="mil",1,0.0254)*4000-$S32)</f>
        <v>#REF!</v>
      </c>
      <c r="BI32" s="447" t="e">
        <f>IF(AND($U32&gt;=IF($B$2="mil",1,0.0254)*500, $U32&lt;=IF($B$2="mil",1,0.0254)*4750),"Pass",IF($B$2="mil",1,0.0254)*4750-$U32)</f>
        <v>#REF!</v>
      </c>
      <c r="BJ32" s="447" t="e">
        <f>IF(AND($AC32&gt;=IF($B$2="mil",1,0.0254)*500, $AC32&lt;=IF($B$2="mil",1,0.0254)*5500),"Pass",IF($B$2="mil",1,0.0254)*5500-$AC32)</f>
        <v>#REF!</v>
      </c>
      <c r="BK32" s="447" t="e">
        <f>IF(AND($AD32&gt;=IF($B$2="mil",1,0.0254)*500, $AD32&lt;=IF($B$2="mil",1,0.0254)*6000),"Pass",IF($B$2="mil",1,0.0254)*6000-$AD32)</f>
        <v>#REF!</v>
      </c>
      <c r="BL32" s="18"/>
      <c r="BM32" s="2" t="e">
        <f ca="1">IF(AND(AV32="Pass",BI32="Pass",AX32="Pass",AW32="Pass",BH32="Pass",Z32="Pass",AA32="Pass",BG32="Pass",BB32="Pass",BC32="Pass",BD32="Pass",BE32="Pass",BF32="Pass",BA32="Pass",AZ32="Pass",AY32="Pass",AP32="Pass",AQ32="Pass",AS32="Pass",AT32="Pass",AU32="Pass",BJ32="Pass",BK32="Pass",AH32="Pass",AI32="Pass"),"Pass","Fail")</f>
        <v>#REF!</v>
      </c>
    </row>
    <row r="33" spans="1:75" s="2" customFormat="1" x14ac:dyDescent="0.2">
      <c r="A33" s="578" t="s">
        <v>149</v>
      </c>
      <c r="B33" s="573" t="s">
        <v>508</v>
      </c>
      <c r="C33" s="562">
        <v>583.81889763779532</v>
      </c>
      <c r="D33" s="16"/>
      <c r="E33" s="17">
        <v>22.63</v>
      </c>
      <c r="F33" s="17">
        <v>0</v>
      </c>
      <c r="G33">
        <v>1819.08</v>
      </c>
      <c r="H33">
        <v>0</v>
      </c>
      <c r="I33">
        <v>791.47</v>
      </c>
      <c r="J33">
        <v>81.64</v>
      </c>
      <c r="K33" s="17">
        <v>40</v>
      </c>
      <c r="L33">
        <v>44.57</v>
      </c>
      <c r="M33">
        <v>1119.74</v>
      </c>
      <c r="N33" s="271">
        <v>0</v>
      </c>
      <c r="O33" s="271">
        <v>0</v>
      </c>
      <c r="P33">
        <v>116.12</v>
      </c>
      <c r="Q33">
        <v>113.62</v>
      </c>
      <c r="R33" s="58"/>
      <c r="S33" s="441">
        <f xml:space="preserve"> E33+F33+G33+H33</f>
        <v>1841.71</v>
      </c>
      <c r="T33" s="533"/>
      <c r="U33" s="441" t="e">
        <f>S33+IF($B$2="mil",1,0.0254)*C33</f>
        <v>#REF!</v>
      </c>
      <c r="V33" s="533"/>
      <c r="W33" s="441" t="e">
        <f>MAX(W$5:X$5)+IF($B$2="mil",1,0.0254)*DDR2Specs!$B$2</f>
        <v>#REF!</v>
      </c>
      <c r="X33" s="441" t="e">
        <f>MIN(W$5:X$5)+IF($B$2="mil",1,0.0254)*DDR2Specs!$C$2</f>
        <v>#REF!</v>
      </c>
      <c r="Y33" s="533"/>
      <c r="Z33" s="534" t="e">
        <f>IF($U33&lt;$W33,$W33-$U33,"Pass")</f>
        <v>#REF!</v>
      </c>
      <c r="AA33" s="447" t="e">
        <f>IF($U33&gt;$X33,$U33-$X33,"Pass")</f>
        <v>#REF!</v>
      </c>
      <c r="AB33" s="18"/>
      <c r="AC33" s="441">
        <f>SUM(E33:G33,I33:N33,P33)</f>
        <v>4035.25</v>
      </c>
      <c r="AD33" s="441" t="e">
        <f>AC33+IF($B$2="mil",1,0.0254)*$C33</f>
        <v>#REF!</v>
      </c>
      <c r="AE33" s="441" t="e">
        <f>MAX(AE$30:AF$30)+IF($B$2="mil",1,0.0254)*DDR2Specs!$E$2</f>
        <v>#REF!</v>
      </c>
      <c r="AF33" s="441" t="e">
        <f>MIN(AE$30:AF$30)+IF($B$2="mil",1,0.0254)*DDR2Specs!$F$2</f>
        <v>#REF!</v>
      </c>
      <c r="AG33" s="18"/>
      <c r="AH33" s="534" t="e">
        <f>IF($AD33&lt;$AE33,$AE33-$AD33,"Pass")</f>
        <v>#REF!</v>
      </c>
      <c r="AI33" s="447" t="e">
        <f>IF($AD33&gt;$AF33,$AD33-$AF33,"Pass")</f>
        <v>#REF!</v>
      </c>
      <c r="AJ33" s="18"/>
      <c r="AK33" s="441">
        <f>SUM(E33:G33,I33:M33,O33,Q33)</f>
        <v>4032.75</v>
      </c>
      <c r="AL33" s="441" t="e">
        <f>AK33+IF($B$2="mil",1,0.0254)*$C33</f>
        <v>#REF!</v>
      </c>
      <c r="AM33" s="441" t="e">
        <f>MAX(AM$30:AN$30)+IF($B$2="mil",1,0.0254)*DDR2Specs!$E$2</f>
        <v>#REF!</v>
      </c>
      <c r="AN33" s="441" t="e">
        <f>MIN(AM$30:AN$30)+IF($B$2="mil",1,0.0254)*DDR2Specs!$F$2</f>
        <v>#REF!</v>
      </c>
      <c r="AO33" s="18"/>
      <c r="AP33" s="534" t="e">
        <f>IF($AL33&lt;$AM33,$AM33-$AL33,"Pass")</f>
        <v>#REF!</v>
      </c>
      <c r="AQ33" s="447" t="e">
        <f>IF($AL33&gt;$AN33,$AL33-$AN33,"Pass")</f>
        <v>#REF!</v>
      </c>
      <c r="AR33" s="18"/>
      <c r="AS33" s="447" t="e">
        <f>IF((ABS($U33-$U32)&lt;=IF($B$2="mil",1,0.0254)*5),"Pass",ABS($U33-$U32))</f>
        <v>#REF!</v>
      </c>
      <c r="AT33" s="447" t="e">
        <f>IF((ABS($AD33-$AD32)&lt;=IF($B$2="mil",1,0.0254)*5),"Pass",ABS($AD33-$AD32))</f>
        <v>#REF!</v>
      </c>
      <c r="AU33" s="447" t="e">
        <f>IF((ABS($AD33-$AD32)&lt;=IF($B$2="mil",1,0.0254)*10),"Pass",ABS($AD33-$AD32))</f>
        <v>#REF!</v>
      </c>
      <c r="AV33" s="447" t="e">
        <f>IF($E33&lt;=IF($B$2="mil",1,0.0254)*50,"Pass",IF($B$2="mil",1,0.0254)*50-$E33)</f>
        <v>#REF!</v>
      </c>
      <c r="AW33" s="447" t="e">
        <f>IF($F33&lt;=IF($B$2="mil",1,0.0254)*500,"Pass",IF($B$2="mil",1,0.0254)*500-$F33)</f>
        <v>#REF!</v>
      </c>
      <c r="AX33" s="447" t="e">
        <f>IF($H33&lt;=IF($B$2="mil",1,0.0254)*0,"Pass",IF($B$2="mil",1,0.0254)*0-$H33)</f>
        <v>#REF!</v>
      </c>
      <c r="AY33" s="447" t="e">
        <f ca="1">CheckLength(IF($B$2="mil",1,0.0254)*750, IF($B$2="mil",1,0.0254)*125-J33, 0, I33,J33,0)</f>
        <v>#NAME?</v>
      </c>
      <c r="AZ33" s="447" t="e">
        <f>IF($J33&lt;=IF($B$2="mil",1,0.0254)*125,"Pass",IF($B$2="mil",1,0.0254)*125-$J33)</f>
        <v>#REF!</v>
      </c>
      <c r="BA33" s="447" t="e">
        <f>IF($L33&lt;=IF($B$2="mil",1,0.0254)*125,"Pass",IF($B$2="mil",1,0.0254)*125-$L33)</f>
        <v>#REF!</v>
      </c>
      <c r="BB33" s="447" t="e">
        <f>IF(($L33+$M33)&lt;=IF($B$2="mil",1,0.0254)*1275,"Pass",IF($B$2="mil",1,0.0254)*1275-($L33+M33))</f>
        <v>#REF!</v>
      </c>
      <c r="BC33" s="447" t="e">
        <f>IF($N33&lt;=IF($B$2="mil",1,0.0254)*150,"Pass",IF($B$2="mil",1,0.0254)*150-$N33)</f>
        <v>#REF!</v>
      </c>
      <c r="BD33" s="447" t="e">
        <f>IF($O33&lt;=IF($B$2="mil",1,0.0254)*150,"Pass",IF($B$2="mil",1,0.0254)*150-$O33)</f>
        <v>#REF!</v>
      </c>
      <c r="BE33" s="445" t="e">
        <f>IF(MAX(N33:O33)-MIN(N33:O33)&lt;=IF($B$2="mil",1,0.0254)*50,"Pass",MAX(N33:O33)-MIN(N33:O33)-IF($B$2="mil",1,0.0254)*50)</f>
        <v>#REF!</v>
      </c>
      <c r="BF33" s="447" t="e">
        <f ca="1">CheckLength2(IF($B$2="mil",1,0.0254)*200,$N33,P33,0)</f>
        <v>#NAME?</v>
      </c>
      <c r="BG33" s="447" t="e">
        <f ca="1">CheckLength2(IF($B$2="mil",1,0.0254)*200,$O33,Q33,0)</f>
        <v>#NAME?</v>
      </c>
      <c r="BH33" s="447" t="e">
        <f>IF(AND($S33&gt;=IF($B$2="mil",1,0.0254)*500, $S33&lt;=IF($B$2="mil",1,0.0254)*4000),"Pass",IF($B$2="mil",1,0.0254)*4000-$S33)</f>
        <v>#REF!</v>
      </c>
      <c r="BI33" s="447" t="e">
        <f>IF(AND($U33&gt;=IF($B$2="mil",1,0.0254)*500, $U33&lt;=IF($B$2="mil",1,0.0254)*4750),"Pass",IF($B$2="mil",1,0.0254)*4750-$U33)</f>
        <v>#REF!</v>
      </c>
      <c r="BJ33" s="447" t="e">
        <f>IF(AND($AC33&gt;=IF($B$2="mil",1,0.0254)*500, $AC33&lt;=IF($B$2="mil",1,0.0254)*5500),"Pass",IF($B$2="mil",1,0.0254)*5500-$AC33)</f>
        <v>#REF!</v>
      </c>
      <c r="BK33" s="447" t="e">
        <f>IF(AND($AD33&gt;=IF($B$2="mil",1,0.0254)*500, $AD33&lt;=IF($B$2="mil",1,0.0254)*6000),"Pass",IF($B$2="mil",1,0.0254)*6000-$AD33)</f>
        <v>#REF!</v>
      </c>
      <c r="BL33" s="18"/>
      <c r="BM33" s="2" t="e">
        <f ca="1">IF(AND(AV33="Pass",BI33="Pass",AX33="Pass",AW33="Pass",BH33="Pass",Z33="Pass",AA33="Pass",BG33="Pass",BB33="Pass",BC33="Pass",BD33="Pass",BE33="Pass",BF33="Pass",BA33="Pass",AZ33="Pass",AY33="Pass",AP33="Pass",AQ33="Pass",AS33="Pass",AT33="Pass",AU33="Pass",BJ33="Pass",BK33="Pass",AH33="Pass",AI33="Pass"),"Pass","Fail")</f>
        <v>#REF!</v>
      </c>
    </row>
    <row r="34" spans="1:75" s="2" customFormat="1" x14ac:dyDescent="0.2">
      <c r="A34" s="6" t="s">
        <v>297</v>
      </c>
      <c r="B34" s="558"/>
      <c r="C34" s="559"/>
      <c r="D34" s="8"/>
      <c r="E34" s="258"/>
      <c r="F34" s="258"/>
      <c r="G34" s="258"/>
      <c r="H34" s="258"/>
      <c r="I34" s="258"/>
      <c r="J34" s="262"/>
      <c r="K34" s="8"/>
      <c r="L34" s="262"/>
      <c r="M34" s="262"/>
      <c r="N34" s="262"/>
      <c r="O34" s="262"/>
      <c r="P34" s="262"/>
      <c r="Q34" s="262"/>
      <c r="R34" s="8"/>
      <c r="S34" s="7"/>
      <c r="T34" s="8"/>
      <c r="U34" s="42"/>
      <c r="V34" s="8"/>
      <c r="W34" s="8"/>
      <c r="X34" s="8"/>
      <c r="Y34" s="8"/>
      <c r="Z34" s="8"/>
      <c r="AA34" s="8"/>
      <c r="AB34" s="8"/>
      <c r="AC34" s="7"/>
      <c r="AD34" s="42"/>
      <c r="AE34" s="8"/>
      <c r="AF34" s="13"/>
      <c r="AG34" s="8"/>
      <c r="AH34" s="13"/>
      <c r="AI34" s="13"/>
      <c r="AJ34" s="8"/>
      <c r="AK34" s="7"/>
      <c r="AL34" s="42"/>
      <c r="AM34" s="8"/>
      <c r="AN34" s="13"/>
      <c r="AO34" s="8"/>
      <c r="AP34" s="13"/>
      <c r="AQ34" s="13"/>
      <c r="AR34" s="8"/>
      <c r="AS34" s="13"/>
      <c r="AT34" s="13"/>
      <c r="AU34" s="13"/>
      <c r="AV34" s="13"/>
      <c r="AW34" s="13"/>
      <c r="AX34" s="13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10"/>
    </row>
    <row r="35" spans="1:75" s="2" customFormat="1" x14ac:dyDescent="0.2">
      <c r="A35" s="579" t="s">
        <v>72</v>
      </c>
      <c r="B35" s="580"/>
      <c r="C35" s="574"/>
      <c r="D35" s="44"/>
      <c r="E35" s="259"/>
      <c r="F35" s="259"/>
      <c r="G35" s="259"/>
      <c r="H35" s="259"/>
      <c r="I35" s="259"/>
      <c r="J35" s="263"/>
      <c r="K35" s="43"/>
      <c r="L35" s="263"/>
      <c r="M35" s="263"/>
      <c r="N35" s="263"/>
      <c r="O35" s="263"/>
      <c r="P35" s="263"/>
      <c r="Q35" s="263"/>
      <c r="R35" s="43"/>
      <c r="S35" s="67"/>
      <c r="T35" s="44"/>
      <c r="U35" s="54"/>
      <c r="V35" s="485"/>
      <c r="W35" s="145"/>
      <c r="X35" s="486"/>
      <c r="Y35" s="44"/>
      <c r="Z35" s="54"/>
      <c r="AA35" s="54"/>
      <c r="AB35" s="485"/>
      <c r="AC35" s="67"/>
      <c r="AD35" s="485" t="s">
        <v>273</v>
      </c>
      <c r="AE35" s="487" t="e">
        <f>MIN('DDR2 Clocks - 4L'!$O$17:$O$18)</f>
        <v>#REF!</v>
      </c>
      <c r="AF35" s="486" t="e">
        <f>MAX('DDR2 Clocks - 4L'!$O$17:$O$18)</f>
        <v>#REF!</v>
      </c>
      <c r="AG35" s="54"/>
      <c r="AH35" s="54"/>
      <c r="AI35" s="54"/>
      <c r="AJ35" s="485"/>
      <c r="AK35" s="67"/>
      <c r="AL35" s="485" t="s">
        <v>335</v>
      </c>
      <c r="AM35" s="487" t="e">
        <f>MIN('DDR2 Clocks - 4L'!$O$19:$O$20)</f>
        <v>#REF!</v>
      </c>
      <c r="AN35" s="486" t="e">
        <f>MAX('DDR2 Clocks - 4L'!$O$19:$O$20)</f>
        <v>#REF!</v>
      </c>
      <c r="AO35" s="54"/>
      <c r="AP35" s="54"/>
      <c r="AQ35" s="54"/>
      <c r="AR35" s="485"/>
      <c r="AS35" s="54"/>
      <c r="AT35" s="54"/>
      <c r="AU35" s="54"/>
      <c r="AV35" s="54"/>
      <c r="AW35" s="43"/>
      <c r="AX35" s="43"/>
      <c r="AY35" s="43"/>
      <c r="AZ35" s="43"/>
      <c r="BA35" s="43"/>
      <c r="BB35" s="43"/>
      <c r="BC35" s="43"/>
      <c r="BD35" s="43"/>
      <c r="BE35" s="43"/>
      <c r="BF35" s="43"/>
      <c r="BG35" s="43"/>
      <c r="BH35" s="43"/>
      <c r="BI35" s="43"/>
      <c r="BJ35" s="43"/>
      <c r="BK35" s="43"/>
      <c r="BL35" s="48"/>
    </row>
    <row r="36" spans="1:75" s="2" customFormat="1" x14ac:dyDescent="0.2">
      <c r="A36" s="6" t="s">
        <v>298</v>
      </c>
      <c r="B36" s="583"/>
      <c r="C36" s="575"/>
      <c r="D36" s="51"/>
      <c r="E36" s="260"/>
      <c r="F36" s="260"/>
      <c r="G36" s="260"/>
      <c r="H36" s="260"/>
      <c r="I36" s="260"/>
      <c r="J36" s="264"/>
      <c r="K36" s="45"/>
      <c r="L36" s="264"/>
      <c r="M36" s="264"/>
      <c r="N36" s="264"/>
      <c r="O36" s="264"/>
      <c r="P36" s="264"/>
      <c r="Q36" s="264"/>
      <c r="R36" s="45"/>
      <c r="S36" s="45"/>
      <c r="T36" s="45"/>
      <c r="U36" s="45"/>
      <c r="V36" s="45"/>
      <c r="W36" s="45"/>
      <c r="X36" s="55"/>
      <c r="Y36" s="45"/>
      <c r="Z36" s="55"/>
      <c r="AA36" s="55"/>
      <c r="AB36" s="55"/>
      <c r="AC36" s="45"/>
      <c r="AD36" s="45"/>
      <c r="AE36" s="55"/>
      <c r="AF36" s="56"/>
      <c r="AG36" s="55"/>
      <c r="AH36" s="45"/>
      <c r="AI36" s="45"/>
      <c r="AJ36" s="55"/>
      <c r="AK36" s="45"/>
      <c r="AL36" s="45"/>
      <c r="AM36" s="55"/>
      <c r="AN36" s="56"/>
      <c r="AO36" s="55"/>
      <c r="AP36" s="45"/>
      <c r="AQ36" s="45"/>
      <c r="AR36" s="55"/>
      <c r="AS36" s="45"/>
      <c r="AT36" s="45"/>
      <c r="AU36" s="45"/>
      <c r="AV36" s="45"/>
      <c r="AW36" s="55"/>
      <c r="AX36" s="55"/>
      <c r="AY36" s="55"/>
      <c r="AZ36" s="55"/>
      <c r="BA36" s="55"/>
      <c r="BB36" s="55"/>
      <c r="BC36" s="55"/>
      <c r="BD36" s="55"/>
      <c r="BE36" s="55"/>
      <c r="BF36" s="55"/>
      <c r="BG36" s="55"/>
      <c r="BH36" s="55"/>
      <c r="BI36" s="55"/>
      <c r="BJ36" s="55"/>
      <c r="BK36" s="55"/>
      <c r="BL36" s="57"/>
    </row>
    <row r="37" spans="1:75" s="2" customFormat="1" x14ac:dyDescent="0.2">
      <c r="A37" s="578" t="s">
        <v>150</v>
      </c>
      <c r="B37" s="573" t="s">
        <v>502</v>
      </c>
      <c r="C37" s="562">
        <v>762.24409448818903</v>
      </c>
      <c r="D37" s="16"/>
      <c r="E37" s="17">
        <v>22.63</v>
      </c>
      <c r="F37" s="17">
        <v>0</v>
      </c>
      <c r="G37">
        <v>1600.88</v>
      </c>
      <c r="H37">
        <v>0</v>
      </c>
      <c r="I37">
        <v>804.85</v>
      </c>
      <c r="J37">
        <v>44.57</v>
      </c>
      <c r="K37" s="17">
        <v>40</v>
      </c>
      <c r="L37">
        <v>90.75</v>
      </c>
      <c r="M37">
        <v>1100.57</v>
      </c>
      <c r="N37" s="271">
        <v>0</v>
      </c>
      <c r="O37" s="271">
        <v>0</v>
      </c>
      <c r="P37">
        <v>95.38</v>
      </c>
      <c r="Q37">
        <v>94.21</v>
      </c>
      <c r="R37" s="58"/>
      <c r="S37" s="441">
        <f xml:space="preserve"> E37+F37+G37+H37</f>
        <v>1623.5100000000002</v>
      </c>
      <c r="T37" s="533"/>
      <c r="U37" s="441" t="e">
        <f>S37+IF($B$2="mil",1,0.0254)*C37</f>
        <v>#REF!</v>
      </c>
      <c r="V37" s="533"/>
      <c r="W37" s="441" t="e">
        <f>MAX(W$5:X$5)+IF($B$2="mil",1,0.0254)*DDR2Specs!$B$2</f>
        <v>#REF!</v>
      </c>
      <c r="X37" s="441" t="e">
        <f>MIN(W$5:X$5)+IF($B$2="mil",1,0.0254)*DDR2Specs!$C$2</f>
        <v>#REF!</v>
      </c>
      <c r="Y37" s="533"/>
      <c r="Z37" s="534" t="e">
        <f>IF($U37&lt;$W37,$W37-$U37,"Pass")</f>
        <v>#REF!</v>
      </c>
      <c r="AA37" s="447" t="e">
        <f>IF($U37&gt;$X37,$U37-$X37,"Pass")</f>
        <v>#REF!</v>
      </c>
      <c r="AB37" s="18"/>
      <c r="AC37" s="441">
        <f>SUM(E37:G37,I37:N37,P37)</f>
        <v>3799.63</v>
      </c>
      <c r="AD37" s="441" t="e">
        <f>AC37+IF($B$2="mil",1,0.0254)*$C37</f>
        <v>#REF!</v>
      </c>
      <c r="AE37" s="441" t="e">
        <f>MAX(AE$35:AF$35)+IF($B$2="mil",1,0.0254)*DDR2Specs!$E$2</f>
        <v>#REF!</v>
      </c>
      <c r="AF37" s="441" t="e">
        <f>MIN(AE$35:AF$35)+IF($B$2="mil",1,0.0254)*DDR2Specs!$F$2</f>
        <v>#REF!</v>
      </c>
      <c r="AG37" s="18"/>
      <c r="AH37" s="534" t="e">
        <f>IF($AD37&lt;$AE37,$AE37-$AD37,"Pass")</f>
        <v>#REF!</v>
      </c>
      <c r="AI37" s="447" t="e">
        <f>IF($AD37&gt;$AF37,$AD37-$AF37,"Pass")</f>
        <v>#REF!</v>
      </c>
      <c r="AJ37" s="18"/>
      <c r="AK37" s="441">
        <f>SUM(E37:G37,I37:M37,O37,Q37)</f>
        <v>3798.46</v>
      </c>
      <c r="AL37" s="441" t="e">
        <f>AK37+IF($B$2="mil",1,0.0254)*$C37</f>
        <v>#REF!</v>
      </c>
      <c r="AM37" s="441" t="e">
        <f>MAX(AM$35:AN$35)+IF($B$2="mil",1,0.0254)*DDR2Specs!$E$2</f>
        <v>#REF!</v>
      </c>
      <c r="AN37" s="441" t="e">
        <f>MIN(AM$35:AN$35)+IF($B$2="mil",1,0.0254)*DDR2Specs!$F$2</f>
        <v>#REF!</v>
      </c>
      <c r="AO37" s="18"/>
      <c r="AP37" s="534" t="e">
        <f>IF($AL37&lt;$AM37,$AM37-$AL37,"Pass")</f>
        <v>#REF!</v>
      </c>
      <c r="AQ37" s="447" t="e">
        <f>IF($AL37&gt;$AN37,$AL37-$AN37,"Pass")</f>
        <v>#REF!</v>
      </c>
      <c r="AR37" s="18"/>
      <c r="AS37" s="447" t="e">
        <f>IF((ABS($U37-$U38)&lt;=IF($B$2="mil",1,0.0254)*5),"Pass",ABS($U37-$U38))</f>
        <v>#REF!</v>
      </c>
      <c r="AT37" s="447" t="e">
        <f>IF((ABS($AD37-$AD38)&lt;=IF($B$2="mil",1,0.0254)*5),"Pass",ABS($AD37-$AD38))</f>
        <v>#REF!</v>
      </c>
      <c r="AU37" s="447" t="e">
        <f>IF((ABS($AL37-$AL38)&lt;=IF($B$2="mil",1,0.0254)*10),"Pass",ABS($AL37-$AL38))</f>
        <v>#REF!</v>
      </c>
      <c r="AV37" s="447" t="e">
        <f>IF($E37&lt;=IF($B$2="mil",1,0.0254)*50,"Pass",IF($B$2="mil",1,0.0254)*50-$E37)</f>
        <v>#REF!</v>
      </c>
      <c r="AW37" s="447" t="e">
        <f>IF($F37&lt;=IF($B$2="mil",1,0.0254)*500,"Pass",IF($B$2="mil",1,0.0254)*500-$F37)</f>
        <v>#REF!</v>
      </c>
      <c r="AX37" s="447" t="e">
        <f>IF($H37&lt;=IF($B$2="mil",1,0.0254)*0,"Pass",IF($B$2="mil",1,0.0254)*0-$H37)</f>
        <v>#REF!</v>
      </c>
      <c r="AY37" s="447" t="e">
        <f ca="1">CheckLength(IF($B$2="mil",1,0.0254)*750, IF($B$2="mil",1,0.0254)*125-J37, 0, I37,J37,0)</f>
        <v>#NAME?</v>
      </c>
      <c r="AZ37" s="447" t="e">
        <f>IF($J37&lt;=IF($B$2="mil",1,0.0254)*125,"Pass",IF($B$2="mil",1,0.0254)*125-$J37)</f>
        <v>#REF!</v>
      </c>
      <c r="BA37" s="447" t="e">
        <f>IF($L37&lt;=IF($B$2="mil",1,0.0254)*125,"Pass",IF($B$2="mil",1,0.0254)*125-$L37)</f>
        <v>#REF!</v>
      </c>
      <c r="BB37" s="447" t="e">
        <f>IF(($L37+$M37)&lt;=IF($B$2="mil",1,0.0254)*1275,"Pass",IF($B$2="mil",1,0.0254)*1275-($L37+M37))</f>
        <v>#REF!</v>
      </c>
      <c r="BC37" s="447" t="e">
        <f>IF($N37&lt;=IF($B$2="mil",1,0.0254)*150,"Pass",IF($B$2="mil",1,0.0254)*150-$N37)</f>
        <v>#REF!</v>
      </c>
      <c r="BD37" s="447" t="e">
        <f>IF($O37&lt;=IF($B$2="mil",1,0.0254)*150,"Pass",IF($B$2="mil",1,0.0254)*150-$O37)</f>
        <v>#REF!</v>
      </c>
      <c r="BE37" s="445" t="e">
        <f>IF(MAX(N37:O37)-MIN(N37:O37)&lt;=IF($B$2="mil",1,0.0254)*50,"Pass",MAX(N37:O37)-MIN(N37:O37)-IF($B$2="mil",1,0.0254)*50)</f>
        <v>#REF!</v>
      </c>
      <c r="BF37" s="447" t="e">
        <f ca="1">CheckLength2(IF($B$2="mil",1,0.0254)*200,$N37,P37,0)</f>
        <v>#NAME?</v>
      </c>
      <c r="BG37" s="447" t="e">
        <f ca="1">CheckLength2(IF($B$2="mil",1,0.0254)*200,$O37,Q37,0)</f>
        <v>#NAME?</v>
      </c>
      <c r="BH37" s="447" t="e">
        <f>IF(AND($S37&gt;=IF($B$2="mil",1,0.0254)*500, $S37&lt;=IF($B$2="mil",1,0.0254)*4000),"Pass",IF($B$2="mil",1,0.0254)*4000-$S37)</f>
        <v>#REF!</v>
      </c>
      <c r="BI37" s="447" t="e">
        <f>IF(AND($U37&gt;=IF($B$2="mil",1,0.0254)*500, $U37&lt;=IF($B$2="mil",1,0.0254)*4750),"Pass",IF($B$2="mil",1,0.0254)*4750-$U37)</f>
        <v>#REF!</v>
      </c>
      <c r="BJ37" s="447" t="e">
        <f>IF(AND($AC37&gt;=IF($B$2="mil",1,0.0254)*500, $AC37&lt;=IF($B$2="mil",1,0.0254)*5500),"Pass",IF($B$2="mil",1,0.0254)*5500-$AC37)</f>
        <v>#REF!</v>
      </c>
      <c r="BK37" s="447" t="e">
        <f>IF(AND($AD37&gt;=IF($B$2="mil",1,0.0254)*500, $AD37&lt;=IF($B$2="mil",1,0.0254)*6000),"Pass",IF($B$2="mil",1,0.0254)*6000-$AD37)</f>
        <v>#REF!</v>
      </c>
      <c r="BL37" s="18"/>
      <c r="BM37" s="2" t="e">
        <f ca="1">IF(AND(AV37="Pass",BI37="Pass",AX37="Pass",AW37="Pass",BH37="Pass",Z37="Pass",AA37="Pass",BG37="Pass",BB37="Pass",BC37="Pass",BD37="Pass",BE37="Pass",BF37="Pass",BA37="Pass",AZ37="Pass",AY37="Pass",AP37="Pass",AQ37="Pass",AS37="Pass",AT37="Pass",AU37="Pass",BJ37="Pass",BK37="Pass",AH37="Pass",AI37="Pass"),"Pass","Fail")</f>
        <v>#REF!</v>
      </c>
    </row>
    <row r="38" spans="1:75" s="2" customFormat="1" x14ac:dyDescent="0.2">
      <c r="A38" s="578" t="s">
        <v>151</v>
      </c>
      <c r="B38" s="573" t="s">
        <v>509</v>
      </c>
      <c r="C38" s="562">
        <v>762.24409448818903</v>
      </c>
      <c r="D38" s="16"/>
      <c r="E38" s="17">
        <v>22.63</v>
      </c>
      <c r="F38" s="17">
        <v>0</v>
      </c>
      <c r="G38">
        <v>1602.58</v>
      </c>
      <c r="H38">
        <v>0</v>
      </c>
      <c r="I38">
        <v>804.93</v>
      </c>
      <c r="J38">
        <v>43.4</v>
      </c>
      <c r="K38" s="17">
        <v>40</v>
      </c>
      <c r="L38">
        <v>92.41</v>
      </c>
      <c r="M38">
        <v>1080.57</v>
      </c>
      <c r="N38" s="271">
        <v>0</v>
      </c>
      <c r="O38" s="271">
        <v>0</v>
      </c>
      <c r="P38">
        <v>114.95</v>
      </c>
      <c r="Q38">
        <v>114.36</v>
      </c>
      <c r="R38" s="58"/>
      <c r="S38" s="441">
        <f xml:space="preserve"> E38+F38+G38+H38</f>
        <v>1625.21</v>
      </c>
      <c r="T38" s="533"/>
      <c r="U38" s="441" t="e">
        <f>S38+IF($B$2="mil",1,0.0254)*C38</f>
        <v>#REF!</v>
      </c>
      <c r="V38" s="533"/>
      <c r="W38" s="441" t="e">
        <f>MAX(W$5:X$5)+IF($B$2="mil",1,0.0254)*DDR2Specs!$B$2</f>
        <v>#REF!</v>
      </c>
      <c r="X38" s="441" t="e">
        <f>MIN(W$5:X$5)+IF($B$2="mil",1,0.0254)*DDR2Specs!$C$2</f>
        <v>#REF!</v>
      </c>
      <c r="Y38" s="533"/>
      <c r="Z38" s="534" t="e">
        <f>IF($U38&lt;$W38,$W38-$U38,"Pass")</f>
        <v>#REF!</v>
      </c>
      <c r="AA38" s="447" t="e">
        <f>IF($U38&gt;$X38,$U38-$X38,"Pass")</f>
        <v>#REF!</v>
      </c>
      <c r="AB38" s="18"/>
      <c r="AC38" s="441">
        <f>SUM(E38:G38,I38:N38,P38)</f>
        <v>3801.4699999999993</v>
      </c>
      <c r="AD38" s="441" t="e">
        <f>AC38+IF($B$2="mil",1,0.0254)*$C38</f>
        <v>#REF!</v>
      </c>
      <c r="AE38" s="441" t="e">
        <f>MAX(AE$35:AF$35)+IF($B$2="mil",1,0.0254)*DDR2Specs!$E$2</f>
        <v>#REF!</v>
      </c>
      <c r="AF38" s="441" t="e">
        <f>MIN(AE$35:AF$35)+IF($B$2="mil",1,0.0254)*DDR2Specs!$F$2</f>
        <v>#REF!</v>
      </c>
      <c r="AG38" s="18"/>
      <c r="AH38" s="534" t="e">
        <f>IF($AD38&lt;$AE38,$AE38-$AD38,"Pass")</f>
        <v>#REF!</v>
      </c>
      <c r="AI38" s="447" t="e">
        <f>IF($AD38&gt;$AF38,$AD38-$AF38,"Pass")</f>
        <v>#REF!</v>
      </c>
      <c r="AJ38" s="18"/>
      <c r="AK38" s="441">
        <f>SUM(E38:G38,I38:M38,O38,Q38)</f>
        <v>3800.8799999999997</v>
      </c>
      <c r="AL38" s="441" t="e">
        <f>AK38+IF($B$2="mil",1,0.0254)*$C38</f>
        <v>#REF!</v>
      </c>
      <c r="AM38" s="441" t="e">
        <f>MAX(AM$35:AN$35)+IF($B$2="mil",1,0.0254)*DDR2Specs!$E$2</f>
        <v>#REF!</v>
      </c>
      <c r="AN38" s="441" t="e">
        <f>MIN(AM$35:AN$35)+IF($B$2="mil",1,0.0254)*DDR2Specs!$F$2</f>
        <v>#REF!</v>
      </c>
      <c r="AO38" s="18"/>
      <c r="AP38" s="534" t="e">
        <f>IF($AL38&lt;$AM38,$AM38-$AL38,"Pass")</f>
        <v>#REF!</v>
      </c>
      <c r="AQ38" s="447" t="e">
        <f>IF($AL38&gt;$AN38,$AL38-$AN38,"Pass")</f>
        <v>#REF!</v>
      </c>
      <c r="AR38" s="18"/>
      <c r="AS38" s="447" t="e">
        <f>IF((ABS($U38-$U37)&lt;=IF($B$2="mil",1,0.0254)*5),"Pass",ABS($U38-$U37))</f>
        <v>#REF!</v>
      </c>
      <c r="AT38" s="447" t="e">
        <f>IF((ABS($AD38-$AD37)&lt;=IF($B$2="mil",1,0.0254)*5),"Pass",ABS($AD38-$AD37))</f>
        <v>#REF!</v>
      </c>
      <c r="AU38" s="447" t="e">
        <f>IF((ABS($AL38-$AL37)&lt;=IF($B$2="mil",1,0.0254)*10),"Pass",ABS($AL38-$AL37))</f>
        <v>#REF!</v>
      </c>
      <c r="AV38" s="447" t="e">
        <f>IF($E38&lt;=IF($B$2="mil",1,0.0254)*50,"Pass",IF($B$2="mil",1,0.0254)*50-$E38)</f>
        <v>#REF!</v>
      </c>
      <c r="AW38" s="447" t="e">
        <f>IF($F38&lt;=IF($B$2="mil",1,0.0254)*500,"Pass",IF($B$2="mil",1,0.0254)*500-$F38)</f>
        <v>#REF!</v>
      </c>
      <c r="AX38" s="447" t="e">
        <f>IF($H38&lt;=IF($B$2="mil",1,0.0254)*0,"Pass",IF($B$2="mil",1,0.0254)*0-$H38)</f>
        <v>#REF!</v>
      </c>
      <c r="AY38" s="447" t="e">
        <f ca="1">CheckLength(IF($B$2="mil",1,0.0254)*750, IF($B$2="mil",1,0.0254)*125-J38, 0, I38,J38,0)</f>
        <v>#NAME?</v>
      </c>
      <c r="AZ38" s="447" t="e">
        <f>IF($J38&lt;=IF($B$2="mil",1,0.0254)*125,"Pass",IF($B$2="mil",1,0.0254)*125-$J38)</f>
        <v>#REF!</v>
      </c>
      <c r="BA38" s="447" t="e">
        <f>IF($L38&lt;=IF($B$2="mil",1,0.0254)*125,"Pass",IF($B$2="mil",1,0.0254)*125-$L38)</f>
        <v>#REF!</v>
      </c>
      <c r="BB38" s="447" t="e">
        <f>IF(($L38+$M38)&lt;=IF($B$2="mil",1,0.0254)*1275,"Pass",IF($B$2="mil",1,0.0254)*1275-($L38+M38))</f>
        <v>#REF!</v>
      </c>
      <c r="BC38" s="447" t="e">
        <f>IF($N38&lt;=IF($B$2="mil",1,0.0254)*150,"Pass",IF($B$2="mil",1,0.0254)*150-$N38)</f>
        <v>#REF!</v>
      </c>
      <c r="BD38" s="447" t="e">
        <f>IF($O38&lt;=IF($B$2="mil",1,0.0254)*150,"Pass",IF($B$2="mil",1,0.0254)*150-$O38)</f>
        <v>#REF!</v>
      </c>
      <c r="BE38" s="445" t="e">
        <f>IF(MAX(N38:O38)-MIN(N38:O38)&lt;=IF($B$2="mil",1,0.0254)*50,"Pass",MAX(N38:O38)-MIN(N38:O38)-IF($B$2="mil",1,0.0254)*50)</f>
        <v>#REF!</v>
      </c>
      <c r="BF38" s="447" t="e">
        <f ca="1">CheckLength2(IF($B$2="mil",1,0.0254)*200,$N38,P38,0)</f>
        <v>#NAME?</v>
      </c>
      <c r="BG38" s="447" t="e">
        <f ca="1">CheckLength2(IF($B$2="mil",1,0.0254)*200,$O38,Q38,0)</f>
        <v>#NAME?</v>
      </c>
      <c r="BH38" s="447" t="e">
        <f>IF(AND($S38&gt;=IF($B$2="mil",1,0.0254)*500, $S38&lt;=IF($B$2="mil",1,0.0254)*4000),"Pass",IF($B$2="mil",1,0.0254)*4000-$S38)</f>
        <v>#REF!</v>
      </c>
      <c r="BI38" s="447" t="e">
        <f>IF(AND($U38&gt;=IF($B$2="mil",1,0.0254)*500, $U38&lt;=IF($B$2="mil",1,0.0254)*4750),"Pass",IF($B$2="mil",1,0.0254)*4750-$U38)</f>
        <v>#REF!</v>
      </c>
      <c r="BJ38" s="447" t="e">
        <f>IF(AND($AC38&gt;=IF($B$2="mil",1,0.0254)*500, $AC38&lt;=IF($B$2="mil",1,0.0254)*5500),"Pass",IF($B$2="mil",1,0.0254)*5500-$AC38)</f>
        <v>#REF!</v>
      </c>
      <c r="BK38" s="447" t="e">
        <f>IF(AND($AD38&gt;=IF($B$2="mil",1,0.0254)*500, $AD38&lt;=IF($B$2="mil",1,0.0254)*6000),"Pass",IF($B$2="mil",1,0.0254)*6000-$AD38)</f>
        <v>#REF!</v>
      </c>
      <c r="BL38" s="18"/>
      <c r="BM38" s="2" t="e">
        <f ca="1">IF(AND(AV38="Pass",BI38="Pass",AX38="Pass",AW38="Pass",BH38="Pass",Z38="Pass",AA38="Pass",BG38="Pass",BB38="Pass",BC38="Pass",BD38="Pass",BE38="Pass",BF38="Pass",BA38="Pass",AZ38="Pass",AY38="Pass",AP38="Pass",AQ38="Pass",AS38="Pass",AT38="Pass",AU38="Pass",BJ38="Pass",BK38="Pass",AH38="Pass",AI38="Pass"),"Pass","Fail")</f>
        <v>#REF!</v>
      </c>
    </row>
    <row r="39" spans="1:75" s="2" customFormat="1" x14ac:dyDescent="0.2">
      <c r="A39" s="6" t="s">
        <v>297</v>
      </c>
      <c r="B39" s="558"/>
      <c r="C39" s="559"/>
      <c r="D39" s="8"/>
      <c r="E39" s="258"/>
      <c r="F39" s="258"/>
      <c r="G39" s="258"/>
      <c r="H39" s="258"/>
      <c r="I39" s="258"/>
      <c r="J39" s="262"/>
      <c r="K39" s="8"/>
      <c r="L39" s="262"/>
      <c r="M39" s="262"/>
      <c r="N39" s="262"/>
      <c r="O39" s="262"/>
      <c r="P39" s="262"/>
      <c r="Q39" s="262"/>
      <c r="R39" s="8"/>
      <c r="S39" s="7"/>
      <c r="T39" s="8"/>
      <c r="U39" s="42"/>
      <c r="V39" s="8"/>
      <c r="W39" s="8"/>
      <c r="X39" s="8"/>
      <c r="Y39" s="8"/>
      <c r="Z39" s="8"/>
      <c r="AA39" s="8"/>
      <c r="AB39" s="8"/>
      <c r="AC39" s="7"/>
      <c r="AD39" s="42"/>
      <c r="AE39" s="8"/>
      <c r="AF39" s="13"/>
      <c r="AG39" s="8"/>
      <c r="AH39" s="13"/>
      <c r="AI39" s="13"/>
      <c r="AJ39" s="8"/>
      <c r="AK39" s="7"/>
      <c r="AL39" s="42"/>
      <c r="AM39" s="8"/>
      <c r="AN39" s="13"/>
      <c r="AO39" s="8"/>
      <c r="AP39" s="13"/>
      <c r="AQ39" s="13"/>
      <c r="AR39" s="8"/>
      <c r="AS39" s="13"/>
      <c r="AT39" s="13"/>
      <c r="AU39" s="13"/>
      <c r="AV39" s="13"/>
      <c r="AW39" s="13"/>
      <c r="AX39" s="13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10"/>
    </row>
    <row r="40" spans="1:75" s="2" customFormat="1" x14ac:dyDescent="0.2">
      <c r="A40" s="579" t="s">
        <v>72</v>
      </c>
      <c r="B40" s="580"/>
      <c r="C40" s="574"/>
      <c r="D40" s="44"/>
      <c r="E40" s="259"/>
      <c r="F40" s="259"/>
      <c r="G40" s="259"/>
      <c r="H40" s="259"/>
      <c r="I40" s="259"/>
      <c r="J40" s="263"/>
      <c r="K40" s="43"/>
      <c r="L40" s="263"/>
      <c r="M40" s="263"/>
      <c r="N40" s="263"/>
      <c r="O40" s="263"/>
      <c r="P40" s="263"/>
      <c r="Q40" s="263"/>
      <c r="R40" s="43"/>
      <c r="S40" s="67"/>
      <c r="T40" s="44"/>
      <c r="U40" s="54"/>
      <c r="V40" s="485"/>
      <c r="W40" s="145"/>
      <c r="X40" s="486"/>
      <c r="Y40" s="44"/>
      <c r="Z40" s="54"/>
      <c r="AA40" s="54"/>
      <c r="AB40" s="485"/>
      <c r="AC40" s="67"/>
      <c r="AD40" s="485" t="s">
        <v>273</v>
      </c>
      <c r="AE40" s="487" t="e">
        <f>MIN('DDR2 Clocks - 4L'!$O$17:$O$18)</f>
        <v>#REF!</v>
      </c>
      <c r="AF40" s="486" t="e">
        <f>MAX('DDR2 Clocks - 4L'!$O$17:$O$18)</f>
        <v>#REF!</v>
      </c>
      <c r="AG40" s="54"/>
      <c r="AH40" s="54"/>
      <c r="AI40" s="54"/>
      <c r="AJ40" s="485"/>
      <c r="AK40" s="67"/>
      <c r="AL40" s="485" t="s">
        <v>335</v>
      </c>
      <c r="AM40" s="487" t="e">
        <f>MIN('DDR2 Clocks - 4L'!$O$19:$O$20)</f>
        <v>#REF!</v>
      </c>
      <c r="AN40" s="486" t="e">
        <f>MAX('DDR2 Clocks - 4L'!$O$19:$O$20)</f>
        <v>#REF!</v>
      </c>
      <c r="AO40" s="54"/>
      <c r="AP40" s="54"/>
      <c r="AQ40" s="54"/>
      <c r="AR40" s="485"/>
      <c r="AS40" s="54"/>
      <c r="AT40" s="54"/>
      <c r="AU40" s="54"/>
      <c r="AV40" s="54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8"/>
    </row>
    <row r="41" spans="1:75" s="2" customFormat="1" x14ac:dyDescent="0.2">
      <c r="A41" s="6" t="s">
        <v>298</v>
      </c>
      <c r="B41" s="581"/>
      <c r="C41" s="575"/>
      <c r="D41" s="51"/>
      <c r="E41" s="260"/>
      <c r="F41" s="260"/>
      <c r="G41" s="260"/>
      <c r="H41" s="260"/>
      <c r="I41" s="260"/>
      <c r="J41" s="264"/>
      <c r="K41" s="45"/>
      <c r="L41" s="264"/>
      <c r="M41" s="264"/>
      <c r="N41" s="264"/>
      <c r="O41" s="264"/>
      <c r="P41" s="264"/>
      <c r="Q41" s="264"/>
      <c r="R41" s="45"/>
      <c r="S41" s="45"/>
      <c r="T41" s="45"/>
      <c r="U41" s="45"/>
      <c r="V41" s="45"/>
      <c r="W41" s="45"/>
      <c r="X41" s="55"/>
      <c r="Y41" s="45"/>
      <c r="Z41" s="55"/>
      <c r="AA41" s="55"/>
      <c r="AB41" s="55"/>
      <c r="AC41" s="45"/>
      <c r="AD41" s="45"/>
      <c r="AE41" s="55"/>
      <c r="AF41" s="56"/>
      <c r="AG41" s="55"/>
      <c r="AH41" s="45"/>
      <c r="AI41" s="45"/>
      <c r="AJ41" s="55"/>
      <c r="AK41" s="45"/>
      <c r="AL41" s="45"/>
      <c r="AM41" s="55"/>
      <c r="AN41" s="56"/>
      <c r="AO41" s="55"/>
      <c r="AP41" s="45"/>
      <c r="AQ41" s="45"/>
      <c r="AR41" s="55"/>
      <c r="AS41" s="45"/>
      <c r="AT41" s="45"/>
      <c r="AU41" s="45"/>
      <c r="AV41" s="45"/>
      <c r="AW41" s="55"/>
      <c r="AX41" s="55"/>
      <c r="AY41" s="55"/>
      <c r="AZ41" s="55"/>
      <c r="BA41" s="55"/>
      <c r="BB41" s="55"/>
      <c r="BC41" s="55"/>
      <c r="BD41" s="55"/>
      <c r="BE41" s="55"/>
      <c r="BF41" s="55"/>
      <c r="BG41" s="55"/>
      <c r="BH41" s="55"/>
      <c r="BI41" s="55"/>
      <c r="BJ41" s="55"/>
      <c r="BK41" s="55"/>
      <c r="BL41" s="57"/>
    </row>
    <row r="42" spans="1:75" s="2" customFormat="1" x14ac:dyDescent="0.2">
      <c r="A42" s="578" t="s">
        <v>153</v>
      </c>
      <c r="B42" s="573" t="s">
        <v>503</v>
      </c>
      <c r="C42" s="562">
        <v>624.48818897637796</v>
      </c>
      <c r="D42" s="16"/>
      <c r="E42" s="17">
        <v>22.63</v>
      </c>
      <c r="F42" s="17">
        <v>0</v>
      </c>
      <c r="G42">
        <v>2220.54</v>
      </c>
      <c r="H42">
        <v>0</v>
      </c>
      <c r="I42">
        <v>769.05</v>
      </c>
      <c r="J42">
        <v>82.47</v>
      </c>
      <c r="K42" s="17">
        <v>40</v>
      </c>
      <c r="L42">
        <v>86.47</v>
      </c>
      <c r="M42">
        <v>1114.06</v>
      </c>
      <c r="N42" s="271">
        <v>0</v>
      </c>
      <c r="O42" s="271">
        <v>0</v>
      </c>
      <c r="P42">
        <v>63.73</v>
      </c>
      <c r="Q42">
        <v>62.23</v>
      </c>
      <c r="R42" s="58"/>
      <c r="S42" s="441">
        <f xml:space="preserve"> E42+F42+G42+H42</f>
        <v>2243.17</v>
      </c>
      <c r="T42" s="533"/>
      <c r="U42" s="441" t="e">
        <f>S42+IF($B$2="mil",1,0.0254)*C42</f>
        <v>#REF!</v>
      </c>
      <c r="V42" s="533"/>
      <c r="W42" s="441" t="e">
        <f>MAX(W$5:X$5)+IF($B$2="mil",1,0.0254)*DDR2Specs!$B$2</f>
        <v>#REF!</v>
      </c>
      <c r="X42" s="441" t="e">
        <f>MIN(W$5:X$5)+IF($B$2="mil",1,0.0254)*DDR2Specs!$C$2</f>
        <v>#REF!</v>
      </c>
      <c r="Y42" s="533"/>
      <c r="Z42" s="534" t="e">
        <f>IF($U42&lt;$W42,$W42-$U42,"Pass")</f>
        <v>#REF!</v>
      </c>
      <c r="AA42" s="447" t="e">
        <f>IF($U42&gt;$X42,$U42-$X42,"Pass")</f>
        <v>#REF!</v>
      </c>
      <c r="AB42" s="18"/>
      <c r="AC42" s="441">
        <f>SUM(E42:G42,I42:N42,P42)</f>
        <v>4398.9499999999989</v>
      </c>
      <c r="AD42" s="441" t="e">
        <f>AC42+IF($B$2="mil",1,0.0254)*$C42</f>
        <v>#REF!</v>
      </c>
      <c r="AE42" s="441" t="e">
        <f>MAX(AE$40:AF$40)+IF($B$2="mil",1,0.0254)*DDR2Specs!$E$2</f>
        <v>#REF!</v>
      </c>
      <c r="AF42" s="441" t="e">
        <f>MIN(AE$40:AF$40)+IF($B$2="mil",1,0.0254)*DDR2Specs!$F$2</f>
        <v>#REF!</v>
      </c>
      <c r="AG42" s="18"/>
      <c r="AH42" s="534" t="e">
        <f>IF($AD42&lt;$AE42,$AE42-$AD42,"Pass")</f>
        <v>#REF!</v>
      </c>
      <c r="AI42" s="447" t="e">
        <f>IF($AD42&gt;$AF42,$AD42-$AF42,"Pass")</f>
        <v>#REF!</v>
      </c>
      <c r="AJ42" s="18"/>
      <c r="AK42" s="441">
        <f>SUM(E42:G42,I42:M42,O42,Q42)</f>
        <v>4397.4499999999989</v>
      </c>
      <c r="AL42" s="441" t="e">
        <f>AK42+IF($B$2="mil",1,0.0254)*$C42</f>
        <v>#REF!</v>
      </c>
      <c r="AM42" s="441" t="e">
        <f>MAX(AM$40:AN$40)+IF($B$2="mil",1,0.0254)*DDR2Specs!$E$2</f>
        <v>#REF!</v>
      </c>
      <c r="AN42" s="441" t="e">
        <f>MIN(AM$40:AN$40)+IF($B$2="mil",1,0.0254)*DDR2Specs!$F$2</f>
        <v>#REF!</v>
      </c>
      <c r="AO42" s="18"/>
      <c r="AP42" s="534" t="e">
        <f>IF($AL42&lt;$AM42,$AM42-$AL42,"Pass")</f>
        <v>#REF!</v>
      </c>
      <c r="AQ42" s="447" t="e">
        <f>IF($AL42&gt;$AN42,$AL42-$AN42,"Pass")</f>
        <v>#REF!</v>
      </c>
      <c r="AR42" s="18"/>
      <c r="AS42" s="447" t="e">
        <f>IF((ABS($U42-$U43)&lt;=IF($B$2="mil",1,0.0254)*5),"Pass",ABS($U42-$U43))</f>
        <v>#REF!</v>
      </c>
      <c r="AT42" s="447" t="e">
        <f>IF((ABS($AD42-$AD43)&lt;=IF($B$2="mil",1,0.0254)*5),"Pass",ABS($AD42-$AD43))</f>
        <v>#REF!</v>
      </c>
      <c r="AU42" s="447" t="e">
        <f>IF((ABS($AL42-$AL43)&lt;=IF($B$2="mil",1,0.0254)*10),"Pass",ABS($AL42-$AL43))</f>
        <v>#REF!</v>
      </c>
      <c r="AV42" s="447" t="e">
        <f>IF($E42&lt;=IF($B$2="mil",1,0.0254)*50,"Pass",IF($B$2="mil",1,0.0254)*50-$E42)</f>
        <v>#REF!</v>
      </c>
      <c r="AW42" s="447" t="e">
        <f>IF($F42&lt;=IF($B$2="mil",1,0.0254)*500,"Pass",IF($B$2="mil",1,0.0254)*500-$F42)</f>
        <v>#REF!</v>
      </c>
      <c r="AX42" s="447" t="e">
        <f>IF($H42&lt;=IF($B$2="mil",1,0.0254)*0,"Pass",IF($B$2="mil",1,0.0254)*0-$H42)</f>
        <v>#REF!</v>
      </c>
      <c r="AY42" s="447" t="e">
        <f ca="1">CheckLength(IF($B$2="mil",1,0.0254)*750, IF($B$2="mil",1,0.0254)*125-J42, 0, I42,J42,0)</f>
        <v>#NAME?</v>
      </c>
      <c r="AZ42" s="447" t="e">
        <f>IF($J42&lt;=IF($B$2="mil",1,0.0254)*125,"Pass",IF($B$2="mil",1,0.0254)*125-$J42)</f>
        <v>#REF!</v>
      </c>
      <c r="BA42" s="447" t="e">
        <f>IF($L42&lt;=IF($B$2="mil",1,0.0254)*125,"Pass",IF($B$2="mil",1,0.0254)*125-$L42)</f>
        <v>#REF!</v>
      </c>
      <c r="BB42" s="447" t="e">
        <f>IF(($L42+$M42)&lt;=IF($B$2="mil",1,0.0254)*1275,"Pass",IF($B$2="mil",1,0.0254)*1275-($L42+M42))</f>
        <v>#REF!</v>
      </c>
      <c r="BC42" s="447" t="e">
        <f>IF($N42&lt;=IF($B$2="mil",1,0.0254)*150,"Pass",IF($B$2="mil",1,0.0254)*150-$N42)</f>
        <v>#REF!</v>
      </c>
      <c r="BD42" s="447" t="e">
        <f>IF($O42&lt;=IF($B$2="mil",1,0.0254)*150,"Pass",IF($B$2="mil",1,0.0254)*150-$O42)</f>
        <v>#REF!</v>
      </c>
      <c r="BE42" s="445" t="e">
        <f>IF(MAX(N42:O42)-MIN(N42:O42)&lt;=IF($B$2="mil",1,0.0254)*50,"Pass",MAX(N42:O42)-MIN(N42:O42)-IF($B$2="mil",1,0.0254)*50)</f>
        <v>#REF!</v>
      </c>
      <c r="BF42" s="447" t="e">
        <f ca="1">CheckLength2(IF($B$2="mil",1,0.0254)*200,$N42,P42,0)</f>
        <v>#NAME?</v>
      </c>
      <c r="BG42" s="447" t="e">
        <f ca="1">CheckLength2(IF($B$2="mil",1,0.0254)*200,$O42,Q42,0)</f>
        <v>#NAME?</v>
      </c>
      <c r="BH42" s="447" t="e">
        <f>IF(AND($S42&gt;=IF($B$2="mil",1,0.0254)*500, $S42&lt;=IF($B$2="mil",1,0.0254)*4000),"Pass",IF($B$2="mil",1,0.0254)*4000-$S42)</f>
        <v>#REF!</v>
      </c>
      <c r="BI42" s="447" t="e">
        <f>IF(AND($U42&gt;=IF($B$2="mil",1,0.0254)*500, $U42&lt;=IF($B$2="mil",1,0.0254)*4750),"Pass",IF($B$2="mil",1,0.0254)*4750-$U42)</f>
        <v>#REF!</v>
      </c>
      <c r="BJ42" s="447" t="e">
        <f>IF(AND($AC42&gt;=IF($B$2="mil",1,0.0254)*500, $AC42&lt;=IF($B$2="mil",1,0.0254)*5500),"Pass",IF($B$2="mil",1,0.0254)*5500-$AC42)</f>
        <v>#REF!</v>
      </c>
      <c r="BK42" s="447" t="e">
        <f>IF(AND($AD42&gt;=IF($B$2="mil",1,0.0254)*500, $AD42&lt;=IF($B$2="mil",1,0.0254)*6000),"Pass",IF($B$2="mil",1,0.0254)*6000-$AD42)</f>
        <v>#REF!</v>
      </c>
      <c r="BL42" s="18"/>
      <c r="BM42" s="2" t="e">
        <f ca="1">IF(AND(AV42="Pass",BI42="Pass",AX42="Pass",AW42="Pass",BH42="Pass",Z42="Pass",AA42="Pass",BG42="Pass",BB42="Pass",BC42="Pass",BD42="Pass",BE42="Pass",BF42="Pass",BA42="Pass",AZ42="Pass",AY42="Pass",AP42="Pass",AQ42="Pass",AS42="Pass",AT42="Pass",AU42="Pass",BJ42="Pass",BK42="Pass",AH42="Pass",AI42="Pass"),"Pass","Fail")</f>
        <v>#REF!</v>
      </c>
    </row>
    <row r="43" spans="1:75" s="2" customFormat="1" x14ac:dyDescent="0.2">
      <c r="A43" s="578" t="s">
        <v>154</v>
      </c>
      <c r="B43" s="573" t="s">
        <v>510</v>
      </c>
      <c r="C43" s="562">
        <v>624.48818897637796</v>
      </c>
      <c r="D43" s="16"/>
      <c r="E43" s="17">
        <v>22.63</v>
      </c>
      <c r="F43" s="17">
        <v>0</v>
      </c>
      <c r="G43">
        <v>2216.65</v>
      </c>
      <c r="H43">
        <v>0</v>
      </c>
      <c r="I43">
        <v>779.39</v>
      </c>
      <c r="J43">
        <v>85.78</v>
      </c>
      <c r="K43" s="17">
        <v>40</v>
      </c>
      <c r="L43">
        <v>85.78</v>
      </c>
      <c r="M43">
        <v>1057.99</v>
      </c>
      <c r="N43" s="271">
        <v>0</v>
      </c>
      <c r="O43" s="271">
        <v>0</v>
      </c>
      <c r="P43">
        <v>109.41</v>
      </c>
      <c r="Q43">
        <v>107.91</v>
      </c>
      <c r="R43" s="58"/>
      <c r="S43" s="441">
        <f xml:space="preserve"> E43+F43+G43+H43</f>
        <v>2239.2800000000002</v>
      </c>
      <c r="T43" s="533"/>
      <c r="U43" s="441" t="e">
        <f>S43+IF($B$2="mil",1,0.0254)*C43</f>
        <v>#REF!</v>
      </c>
      <c r="V43" s="533"/>
      <c r="W43" s="441" t="e">
        <f>MAX(W$5:X$5)+IF($B$2="mil",1,0.0254)*DDR2Specs!$B$2</f>
        <v>#REF!</v>
      </c>
      <c r="X43" s="441" t="e">
        <f>MIN(W$5:X$5)+IF($B$2="mil",1,0.0254)*DDR2Specs!$C$2</f>
        <v>#REF!</v>
      </c>
      <c r="Y43" s="533"/>
      <c r="Z43" s="534" t="e">
        <f>IF($U43&lt;$W43,$W43-$U43,"Pass")</f>
        <v>#REF!</v>
      </c>
      <c r="AA43" s="447" t="e">
        <f>IF($U43&gt;$X43,$U43-$X43,"Pass")</f>
        <v>#REF!</v>
      </c>
      <c r="AB43" s="18"/>
      <c r="AC43" s="441">
        <f>SUM(E43:G43,I43:N43,P43)</f>
        <v>4397.63</v>
      </c>
      <c r="AD43" s="441" t="e">
        <f>AC43+IF($B$2="mil",1,0.0254)*$C43</f>
        <v>#REF!</v>
      </c>
      <c r="AE43" s="441" t="e">
        <f>MAX(AE$40:AF$40)+IF($B$2="mil",1,0.0254)*DDR2Specs!$E$2</f>
        <v>#REF!</v>
      </c>
      <c r="AF43" s="441" t="e">
        <f>MIN(AE$40:AF$40)+IF($B$2="mil",1,0.0254)*DDR2Specs!$F$2</f>
        <v>#REF!</v>
      </c>
      <c r="AG43" s="18"/>
      <c r="AH43" s="534" t="e">
        <f>IF($AD43&lt;$AE43,$AE43-$AD43,"Pass")</f>
        <v>#REF!</v>
      </c>
      <c r="AI43" s="447" t="e">
        <f>IF($AD43&gt;$AF43,$AD43-$AF43,"Pass")</f>
        <v>#REF!</v>
      </c>
      <c r="AJ43" s="18"/>
      <c r="AK43" s="441">
        <f>SUM(E43:G43,I43:M43,O43,Q43)</f>
        <v>4396.13</v>
      </c>
      <c r="AL43" s="441" t="e">
        <f>AK43+IF($B$2="mil",1,0.0254)*$C43</f>
        <v>#REF!</v>
      </c>
      <c r="AM43" s="441" t="e">
        <f>MAX(AM$40:AN$40)+IF($B$2="mil",1,0.0254)*DDR2Specs!$E$2</f>
        <v>#REF!</v>
      </c>
      <c r="AN43" s="441" t="e">
        <f>MIN(AM$40:AN$40)+IF($B$2="mil",1,0.0254)*DDR2Specs!$F$2</f>
        <v>#REF!</v>
      </c>
      <c r="AO43" s="18"/>
      <c r="AP43" s="534" t="e">
        <f>IF($AL43&lt;$AM43,$AM43-$AL43,"Pass")</f>
        <v>#REF!</v>
      </c>
      <c r="AQ43" s="447" t="e">
        <f>IF($AL43&gt;$AN43,$AL43-$AN43,"Pass")</f>
        <v>#REF!</v>
      </c>
      <c r="AR43" s="18"/>
      <c r="AS43" s="447" t="e">
        <f>IF((ABS($U43-$U42)&lt;=IF($B$2="mil",1,0.0254)*5),"Pass",ABS($U43-$U42))</f>
        <v>#REF!</v>
      </c>
      <c r="AT43" s="447" t="e">
        <f>IF((ABS($AD43-$AD42)&lt;=IF($B$2="mil",1,0.0254)*5),"Pass",ABS($AD43-$AD42))</f>
        <v>#REF!</v>
      </c>
      <c r="AU43" s="447" t="e">
        <f>IF((ABS($AL43-$AL42)&lt;=IF($B$2="mil",1,0.0254)*10),"Pass",ABS($AL43-$AL42))</f>
        <v>#REF!</v>
      </c>
      <c r="AV43" s="447" t="e">
        <f>IF($E43&lt;=IF($B$2="mil",1,0.0254)*50,"Pass",IF($B$2="mil",1,0.0254)*50-$E43)</f>
        <v>#REF!</v>
      </c>
      <c r="AW43" s="447" t="e">
        <f>IF($F43&lt;=IF($B$2="mil",1,0.0254)*500,"Pass",IF($B$2="mil",1,0.0254)*500-$F43)</f>
        <v>#REF!</v>
      </c>
      <c r="AX43" s="447" t="e">
        <f>IF($H43&lt;=IF($B$2="mil",1,0.0254)*0,"Pass",IF($B$2="mil",1,0.0254)*0-$H43)</f>
        <v>#REF!</v>
      </c>
      <c r="AY43" s="447" t="e">
        <f ca="1">CheckLength(IF($B$2="mil",1,0.0254)*750, IF($B$2="mil",1,0.0254)*125-J43, 0, I43,J43,0)</f>
        <v>#NAME?</v>
      </c>
      <c r="AZ43" s="447" t="e">
        <f>IF($J43&lt;=IF($B$2="mil",1,0.0254)*125,"Pass",IF($B$2="mil",1,0.0254)*125-$J43)</f>
        <v>#REF!</v>
      </c>
      <c r="BA43" s="447" t="e">
        <f>IF($L43&lt;=IF($B$2="mil",1,0.0254)*125,"Pass",IF($B$2="mil",1,0.0254)*125-$L43)</f>
        <v>#REF!</v>
      </c>
      <c r="BB43" s="447" t="e">
        <f>IF(($L43+$M43)&lt;=IF($B$2="mil",1,0.0254)*1275,"Pass",IF($B$2="mil",1,0.0254)*1275-($L43+M43))</f>
        <v>#REF!</v>
      </c>
      <c r="BC43" s="447" t="e">
        <f>IF($N43&lt;=IF($B$2="mil",1,0.0254)*150,"Pass",IF($B$2="mil",1,0.0254)*150-$N43)</f>
        <v>#REF!</v>
      </c>
      <c r="BD43" s="447" t="e">
        <f>IF($O43&lt;=IF($B$2="mil",1,0.0254)*150,"Pass",IF($B$2="mil",1,0.0254)*150-$O43)</f>
        <v>#REF!</v>
      </c>
      <c r="BE43" s="445" t="e">
        <f>IF(MAX(N43:O43)-MIN(N43:O43)&lt;=IF($B$2="mil",1,0.0254)*50,"Pass",MAX(N43:O43)-MIN(N43:O43)-IF($B$2="mil",1,0.0254)*50)</f>
        <v>#REF!</v>
      </c>
      <c r="BF43" s="447" t="e">
        <f ca="1">CheckLength2(IF($B$2="mil",1,0.0254)*200,$N43,P43,0)</f>
        <v>#NAME?</v>
      </c>
      <c r="BG43" s="447" t="e">
        <f ca="1">CheckLength2(IF($B$2="mil",1,0.0254)*200,$O43,Q43,0)</f>
        <v>#NAME?</v>
      </c>
      <c r="BH43" s="447" t="e">
        <f>IF(AND($S43&gt;=IF($B$2="mil",1,0.0254)*500, $S43&lt;=IF($B$2="mil",1,0.0254)*4000),"Pass",IF($B$2="mil",1,0.0254)*4000-$S43)</f>
        <v>#REF!</v>
      </c>
      <c r="BI43" s="447" t="e">
        <f>IF(AND($U43&gt;=IF($B$2="mil",1,0.0254)*500, $U43&lt;=IF($B$2="mil",1,0.0254)*4750),"Pass",IF($B$2="mil",1,0.0254)*4750-$U43)</f>
        <v>#REF!</v>
      </c>
      <c r="BJ43" s="447" t="e">
        <f>IF(AND($AC43&gt;=IF($B$2="mil",1,0.0254)*500, $AC43&lt;=IF($B$2="mil",1,0.0254)*5500),"Pass",IF($B$2="mil",1,0.0254)*5500-$AC43)</f>
        <v>#REF!</v>
      </c>
      <c r="BK43" s="447" t="e">
        <f>IF(AND($AD43&gt;=IF($B$2="mil",1,0.0254)*500, $AD43&lt;=IF($B$2="mil",1,0.0254)*6000),"Pass",IF($B$2="mil",1,0.0254)*6000-$AD43)</f>
        <v>#REF!</v>
      </c>
      <c r="BL43" s="18"/>
      <c r="BM43" s="2" t="e">
        <f ca="1">IF(AND(AV43="Pass",BI43="Pass",AX43="Pass",AW43="Pass",BH43="Pass",Z43="Pass",AA43="Pass",BG43="Pass",BB43="Pass",BC43="Pass",BD43="Pass",BE43="Pass",BF43="Pass",BA43="Pass",AZ43="Pass",AY43="Pass",AP43="Pass",AQ43="Pass",AS43="Pass",AT43="Pass",AU43="Pass",BJ43="Pass",BK43="Pass",AH43="Pass",AI43="Pass"),"Pass","Fail")</f>
        <v>#REF!</v>
      </c>
    </row>
    <row r="44" spans="1:75" s="2" customFormat="1" x14ac:dyDescent="0.2">
      <c r="A44" s="59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60"/>
      <c r="AU44" s="60"/>
      <c r="AV44" s="60"/>
      <c r="AW44" s="60"/>
      <c r="AX44" s="60"/>
      <c r="AY44" s="60"/>
      <c r="AZ44" s="60"/>
      <c r="BA44" s="60"/>
      <c r="BB44" s="60"/>
      <c r="BC44" s="60"/>
      <c r="BD44" s="60"/>
      <c r="BE44" s="60"/>
      <c r="BF44" s="60"/>
      <c r="BG44" s="60"/>
      <c r="BH44" s="60"/>
      <c r="BI44" s="60"/>
      <c r="BJ44" s="60"/>
      <c r="BK44" s="60"/>
      <c r="BL44" s="431"/>
    </row>
    <row r="45" spans="1:75" s="2" customFormat="1" ht="25.5" x14ac:dyDescent="0.35">
      <c r="A45" s="39" t="s">
        <v>57</v>
      </c>
      <c r="B45" s="4"/>
      <c r="C45" s="3"/>
      <c r="D45" s="3"/>
      <c r="E45" s="4"/>
      <c r="F45" s="4"/>
      <c r="G45" s="3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3"/>
      <c r="AF45" s="3"/>
      <c r="AG45" s="4"/>
      <c r="AH45" s="3"/>
      <c r="AI45" s="3"/>
      <c r="AJ45" s="4"/>
      <c r="AK45" s="4"/>
      <c r="AL45" s="4"/>
      <c r="AM45" s="3"/>
      <c r="AN45" s="3"/>
      <c r="AO45" s="4"/>
      <c r="AP45" s="3"/>
      <c r="AQ45" s="3"/>
      <c r="AR45" s="4"/>
      <c r="AS45" s="3"/>
      <c r="AT45" s="3"/>
      <c r="AU45" s="3"/>
      <c r="AV45" s="3"/>
      <c r="AW45" s="61"/>
      <c r="AX45" s="61"/>
      <c r="AY45" s="61"/>
      <c r="AZ45" s="61"/>
      <c r="BA45" s="61"/>
      <c r="BB45" s="61"/>
      <c r="BC45" s="61"/>
      <c r="BD45" s="61"/>
      <c r="BE45" s="61"/>
      <c r="BF45" s="61"/>
      <c r="BG45" s="61"/>
      <c r="BH45" s="61"/>
      <c r="BI45" s="61"/>
      <c r="BJ45" s="61"/>
      <c r="BK45" s="61"/>
      <c r="BL45" s="4"/>
      <c r="BM45" s="4"/>
      <c r="BN45" s="4"/>
      <c r="BW45" s="62"/>
    </row>
    <row r="46" spans="1:75" s="2" customFormat="1" x14ac:dyDescent="0.2">
      <c r="A46" s="4"/>
      <c r="B46" s="3"/>
      <c r="C46" s="3"/>
      <c r="D46" s="3"/>
      <c r="E46" s="4"/>
      <c r="F46" s="4"/>
      <c r="G46" s="3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3"/>
      <c r="AF46" s="3"/>
      <c r="AG46" s="4"/>
      <c r="AH46" s="3"/>
      <c r="AI46" s="3"/>
      <c r="AJ46" s="4"/>
      <c r="AK46" s="4"/>
      <c r="AL46" s="4"/>
      <c r="AM46" s="3"/>
      <c r="AN46" s="3"/>
      <c r="AO46" s="4"/>
      <c r="AP46" s="3"/>
      <c r="AQ46" s="3"/>
      <c r="AR46" s="4"/>
      <c r="AS46" s="3"/>
      <c r="AT46" s="3"/>
      <c r="AU46" s="3"/>
      <c r="AV46" s="3"/>
      <c r="AW46" s="61"/>
      <c r="AX46" s="61"/>
      <c r="AY46" s="61"/>
      <c r="AZ46" s="61"/>
      <c r="BA46" s="61"/>
      <c r="BB46" s="61"/>
      <c r="BC46" s="61"/>
      <c r="BD46" s="61"/>
      <c r="BE46" s="61"/>
      <c r="BF46" s="61"/>
      <c r="BG46" s="61"/>
      <c r="BH46" s="61"/>
      <c r="BI46" s="61"/>
      <c r="BJ46" s="61"/>
      <c r="BK46" s="61"/>
      <c r="BL46" s="4"/>
      <c r="BM46" s="4"/>
      <c r="BN46" s="4"/>
    </row>
    <row r="47" spans="1:75" s="2" customFormat="1" x14ac:dyDescent="0.2">
      <c r="A47" s="4"/>
      <c r="B47" s="4"/>
      <c r="C47" s="3"/>
      <c r="D47" s="3"/>
      <c r="E47" s="64"/>
      <c r="F47" s="4"/>
      <c r="G47" s="3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3"/>
      <c r="AF47" s="3"/>
      <c r="AG47" s="4"/>
      <c r="AH47" s="3"/>
      <c r="AI47" s="3"/>
      <c r="AJ47" s="4"/>
      <c r="AK47" s="4"/>
      <c r="AL47" s="4"/>
      <c r="AM47" s="3"/>
      <c r="AN47" s="3"/>
      <c r="AO47" s="4"/>
      <c r="AP47" s="3"/>
      <c r="AQ47" s="3"/>
      <c r="AR47" s="4"/>
      <c r="AS47" s="3"/>
      <c r="AT47" s="3"/>
      <c r="AU47" s="3"/>
      <c r="AV47" s="3"/>
      <c r="AW47" s="65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63"/>
      <c r="BL47" s="4"/>
      <c r="BO47" s="65"/>
    </row>
    <row r="48" spans="1:75" s="2" customFormat="1" x14ac:dyDescent="0.2">
      <c r="A48" s="4"/>
      <c r="B48" s="4"/>
      <c r="C48" s="3"/>
      <c r="D48" s="3"/>
      <c r="E48" s="4"/>
      <c r="F48" s="4"/>
      <c r="G48" s="3"/>
      <c r="H48" s="2" t="s">
        <v>69</v>
      </c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3"/>
      <c r="AF48" s="3"/>
      <c r="AG48" s="4"/>
      <c r="AH48" s="3"/>
      <c r="AI48" s="3"/>
      <c r="AJ48" s="4"/>
      <c r="AK48" s="4"/>
      <c r="AL48" s="4"/>
      <c r="AM48" s="3"/>
      <c r="AN48" s="3"/>
      <c r="AO48" s="4"/>
      <c r="AP48" s="3"/>
      <c r="AQ48" s="3"/>
      <c r="AR48" s="4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4"/>
      <c r="BM48" s="4"/>
      <c r="BN48" s="4"/>
    </row>
    <row r="49" spans="1:66" s="2" customFormat="1" x14ac:dyDescent="0.2">
      <c r="A49" s="4"/>
      <c r="B49" s="4"/>
      <c r="C49" s="3"/>
      <c r="D49" s="3"/>
      <c r="E49" s="4"/>
      <c r="F49" s="4"/>
      <c r="G49" s="3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3"/>
      <c r="AF49" s="3" t="s">
        <v>155</v>
      </c>
      <c r="AG49" s="4"/>
      <c r="AH49" s="3"/>
      <c r="AI49" s="3"/>
      <c r="AJ49" s="4"/>
      <c r="AK49" s="4"/>
      <c r="AL49" s="4"/>
      <c r="AM49" s="3"/>
      <c r="AN49" s="3" t="s">
        <v>155</v>
      </c>
      <c r="AO49" s="4"/>
      <c r="AP49" s="3"/>
      <c r="AQ49" s="3"/>
      <c r="AR49" s="4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4"/>
      <c r="BM49" s="4"/>
      <c r="BN49" s="4"/>
    </row>
    <row r="50" spans="1:66" s="2" customFormat="1" x14ac:dyDescent="0.2">
      <c r="A50" s="4"/>
      <c r="B50" s="4"/>
      <c r="C50" s="3"/>
      <c r="D50" s="3"/>
      <c r="E50" s="4"/>
      <c r="F50" s="4"/>
      <c r="G50" s="3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3"/>
      <c r="AF50" s="3"/>
      <c r="AG50" s="4"/>
      <c r="AH50" s="3"/>
      <c r="AI50" s="3"/>
      <c r="AJ50" s="4"/>
      <c r="AK50" s="4"/>
      <c r="AL50" s="4"/>
      <c r="AM50" s="3"/>
      <c r="AN50" s="3"/>
      <c r="AO50" s="4"/>
      <c r="AP50" s="3"/>
      <c r="AQ50" s="3"/>
      <c r="AR50" s="4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4"/>
      <c r="BM50" s="4"/>
      <c r="BN50" s="4"/>
    </row>
    <row r="51" spans="1:66" s="2" customFormat="1" x14ac:dyDescent="0.2">
      <c r="A51" s="4"/>
      <c r="B51" s="4"/>
      <c r="C51" s="3"/>
      <c r="D51" s="3"/>
      <c r="E51" s="4"/>
      <c r="F51" s="4"/>
      <c r="G51" s="3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3"/>
      <c r="AF51" s="3"/>
      <c r="AG51" s="4"/>
      <c r="AH51" s="3"/>
      <c r="AI51" s="3"/>
      <c r="AJ51" s="4"/>
      <c r="AK51" s="4"/>
      <c r="AL51" s="4"/>
      <c r="AM51" s="3"/>
      <c r="AN51" s="3"/>
      <c r="AO51" s="4"/>
      <c r="AP51" s="3"/>
      <c r="AQ51" s="3"/>
      <c r="AR51" s="4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4"/>
      <c r="BM51" s="4"/>
      <c r="BN51" s="4"/>
    </row>
    <row r="52" spans="1:66" s="2" customFormat="1" x14ac:dyDescent="0.2">
      <c r="A52" s="4"/>
      <c r="B52" s="4"/>
      <c r="C52" s="3"/>
      <c r="D52" s="3"/>
      <c r="E52" s="4"/>
      <c r="F52" s="4"/>
      <c r="G52" s="3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3"/>
      <c r="AF52" s="3"/>
      <c r="AG52" s="4"/>
      <c r="AH52" s="3"/>
      <c r="AI52" s="3"/>
      <c r="AJ52" s="4"/>
      <c r="AK52" s="4"/>
      <c r="AL52" s="4"/>
      <c r="AM52" s="3"/>
      <c r="AN52" s="3"/>
      <c r="AO52" s="4"/>
      <c r="AP52" s="3"/>
      <c r="AQ52" s="3"/>
      <c r="AR52" s="4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4"/>
      <c r="BM52" s="4"/>
      <c r="BN52" s="4"/>
    </row>
    <row r="53" spans="1:66" s="2" customFormat="1" x14ac:dyDescent="0.2">
      <c r="A53" s="4"/>
      <c r="B53" s="4"/>
      <c r="C53" s="3"/>
      <c r="D53" s="3"/>
      <c r="E53" s="4"/>
      <c r="F53" s="4"/>
      <c r="G53" s="3"/>
      <c r="H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3"/>
      <c r="AF53" s="3"/>
      <c r="AG53" s="4"/>
      <c r="AH53" s="3"/>
      <c r="AI53" s="3"/>
      <c r="AJ53" s="4"/>
      <c r="AK53" s="4"/>
      <c r="AL53" s="4"/>
      <c r="AM53" s="3"/>
      <c r="AN53" s="3"/>
      <c r="AO53" s="4"/>
      <c r="AP53" s="3"/>
      <c r="AQ53" s="3"/>
      <c r="AR53" s="4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4"/>
      <c r="BM53" s="4"/>
      <c r="BN53" s="4"/>
    </row>
    <row r="54" spans="1:66" s="2" customFormat="1" x14ac:dyDescent="0.2">
      <c r="A54" s="4"/>
      <c r="B54" s="4"/>
      <c r="C54" s="3"/>
      <c r="D54" s="3"/>
      <c r="E54" s="4"/>
      <c r="F54" s="4"/>
      <c r="G54" s="3"/>
      <c r="H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X54" s="4"/>
      <c r="Y54" s="4"/>
      <c r="Z54" s="4"/>
      <c r="AA54" s="4"/>
      <c r="AB54" s="4"/>
      <c r="AC54" s="4"/>
      <c r="AD54" s="4"/>
      <c r="AE54" s="3"/>
      <c r="AF54" s="3"/>
      <c r="AG54" s="4"/>
      <c r="AH54" s="3"/>
      <c r="AI54" s="3"/>
      <c r="AJ54" s="4"/>
      <c r="AK54" s="4"/>
      <c r="AL54" s="4"/>
      <c r="AM54" s="3"/>
      <c r="AN54" s="3"/>
      <c r="AO54" s="4"/>
      <c r="AP54" s="3"/>
      <c r="AQ54" s="3"/>
      <c r="AR54" s="4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4"/>
      <c r="BM54" s="4"/>
      <c r="BN54" s="4"/>
    </row>
    <row r="55" spans="1:66" s="2" customFormat="1" x14ac:dyDescent="0.2">
      <c r="A55" s="4"/>
      <c r="B55" s="4"/>
      <c r="C55" s="3"/>
      <c r="D55" s="3"/>
      <c r="E55" s="4"/>
      <c r="F55" s="4"/>
      <c r="G55" s="3"/>
      <c r="H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3"/>
      <c r="AF55" s="3"/>
      <c r="AG55" s="4"/>
      <c r="AH55" s="3"/>
      <c r="AI55" s="3"/>
      <c r="AJ55" s="4"/>
      <c r="AK55" s="4"/>
      <c r="AL55" s="4"/>
      <c r="AM55" s="3"/>
      <c r="AN55" s="3"/>
      <c r="AO55" s="4"/>
      <c r="AP55" s="3"/>
      <c r="AQ55" s="3"/>
      <c r="AR55" s="4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4"/>
      <c r="BM55" s="4"/>
      <c r="BN55" s="4"/>
    </row>
    <row r="56" spans="1:66" s="2" customFormat="1" x14ac:dyDescent="0.2">
      <c r="A56" s="4"/>
      <c r="B56" s="4"/>
      <c r="C56" s="3"/>
      <c r="D56" s="3"/>
      <c r="E56" s="4"/>
      <c r="F56" s="4"/>
      <c r="G56" s="3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3"/>
      <c r="AF56" s="3"/>
      <c r="AG56" s="4"/>
      <c r="AH56" s="3"/>
      <c r="AI56" s="3"/>
      <c r="AJ56" s="4"/>
      <c r="AK56" s="4"/>
      <c r="AL56" s="4"/>
      <c r="AM56" s="3"/>
      <c r="AN56" s="3"/>
      <c r="AO56" s="4"/>
      <c r="AP56" s="3"/>
      <c r="AQ56" s="3"/>
      <c r="AR56" s="4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4"/>
      <c r="BM56" s="4"/>
      <c r="BN56" s="4"/>
    </row>
    <row r="57" spans="1:66" s="2" customFormat="1" x14ac:dyDescent="0.2">
      <c r="A57" s="4"/>
      <c r="B57" s="4"/>
      <c r="C57" s="3"/>
      <c r="D57" s="3"/>
      <c r="E57" s="4"/>
      <c r="F57" s="4"/>
      <c r="G57" s="3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3"/>
      <c r="AF57" s="3"/>
      <c r="AG57" s="4"/>
      <c r="AH57" s="3"/>
      <c r="AI57" s="3"/>
      <c r="AJ57" s="4"/>
      <c r="AK57" s="4"/>
      <c r="AL57" s="4"/>
      <c r="AM57" s="3"/>
      <c r="AN57" s="3"/>
      <c r="AO57" s="4"/>
      <c r="AP57" s="3"/>
      <c r="AQ57" s="3"/>
      <c r="AR57" s="4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4"/>
      <c r="BM57" s="4"/>
      <c r="BN57" s="4"/>
    </row>
    <row r="58" spans="1:66" s="2" customFormat="1" x14ac:dyDescent="0.2">
      <c r="A58" s="4"/>
      <c r="B58" s="4"/>
      <c r="C58" s="3"/>
      <c r="D58" s="3"/>
      <c r="E58" s="4"/>
      <c r="F58" s="4"/>
      <c r="G58" s="3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3"/>
      <c r="AF58" s="3"/>
      <c r="AG58" s="4"/>
      <c r="AH58" s="3"/>
      <c r="AI58" s="3"/>
      <c r="AJ58" s="4"/>
      <c r="AK58" s="4"/>
      <c r="AL58" s="4"/>
      <c r="AM58" s="3"/>
      <c r="AN58" s="3"/>
      <c r="AO58" s="4"/>
      <c r="AP58" s="3"/>
      <c r="AQ58" s="3"/>
      <c r="AR58" s="4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4"/>
      <c r="BM58" s="4"/>
      <c r="BN58" s="4"/>
    </row>
    <row r="59" spans="1:66" s="2" customFormat="1" x14ac:dyDescent="0.2">
      <c r="A59" s="4"/>
      <c r="B59" s="4"/>
      <c r="C59" s="3"/>
      <c r="D59" s="3"/>
      <c r="E59" s="4"/>
      <c r="F59" s="4"/>
      <c r="G59" s="3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3"/>
      <c r="AF59" s="3"/>
      <c r="AG59" s="4"/>
      <c r="AH59" s="3"/>
      <c r="AI59" s="3"/>
      <c r="AJ59" s="4"/>
      <c r="AK59" s="4"/>
      <c r="AL59" s="4"/>
      <c r="AM59" s="3"/>
      <c r="AN59" s="3"/>
      <c r="AO59" s="4"/>
      <c r="AP59" s="3"/>
      <c r="AQ59" s="3"/>
      <c r="AR59" s="4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4"/>
      <c r="BM59" s="4"/>
      <c r="BN59" s="4"/>
    </row>
    <row r="60" spans="1:66" s="2" customFormat="1" x14ac:dyDescent="0.2">
      <c r="A60" s="4"/>
      <c r="B60" s="4"/>
      <c r="C60" s="3"/>
      <c r="D60" s="3"/>
      <c r="E60" s="4"/>
      <c r="F60" s="4"/>
      <c r="G60" s="3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3"/>
      <c r="AF60" s="3"/>
      <c r="AG60" s="4"/>
      <c r="AH60" s="3"/>
      <c r="AI60" s="3"/>
      <c r="AJ60" s="4"/>
      <c r="AK60" s="4"/>
      <c r="AL60" s="4"/>
      <c r="AM60" s="3"/>
      <c r="AN60" s="3"/>
      <c r="AO60" s="4"/>
      <c r="AP60" s="3"/>
      <c r="AQ60" s="3"/>
      <c r="AR60" s="4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4"/>
      <c r="BM60" s="4"/>
      <c r="BN60" s="4"/>
    </row>
    <row r="61" spans="1:66" s="2" customFormat="1" x14ac:dyDescent="0.2">
      <c r="A61" s="4"/>
      <c r="B61" s="4"/>
      <c r="C61" s="3"/>
      <c r="D61" s="3"/>
      <c r="E61" s="4"/>
      <c r="F61" s="4"/>
      <c r="G61" s="3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3"/>
      <c r="AF61" s="3"/>
      <c r="AG61" s="4"/>
      <c r="AH61" s="3"/>
      <c r="AI61" s="3"/>
      <c r="AJ61" s="4"/>
      <c r="AK61" s="4"/>
      <c r="AL61" s="4"/>
      <c r="AM61" s="3"/>
      <c r="AN61" s="3"/>
      <c r="AO61" s="4"/>
      <c r="AP61" s="3"/>
      <c r="AQ61" s="3"/>
      <c r="AR61" s="4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4"/>
      <c r="BM61" s="4"/>
      <c r="BN61" s="4"/>
    </row>
    <row r="62" spans="1:66" s="2" customFormat="1" x14ac:dyDescent="0.2">
      <c r="A62" s="4"/>
      <c r="B62" s="4"/>
      <c r="C62" s="3"/>
      <c r="D62" s="3"/>
      <c r="E62" s="4"/>
      <c r="F62" s="4"/>
      <c r="G62" s="3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3"/>
      <c r="AF62" s="3"/>
      <c r="AG62" s="4"/>
      <c r="AH62" s="3"/>
      <c r="AI62" s="3"/>
      <c r="AJ62" s="4"/>
      <c r="AK62" s="4"/>
      <c r="AL62" s="4"/>
      <c r="AM62" s="3"/>
      <c r="AN62" s="3"/>
      <c r="AO62" s="4"/>
      <c r="AP62" s="3"/>
      <c r="AQ62" s="3"/>
      <c r="AR62" s="4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4"/>
      <c r="BM62" s="4"/>
      <c r="BN62" s="4"/>
    </row>
    <row r="63" spans="1:66" x14ac:dyDescent="0.2">
      <c r="H63" s="4"/>
      <c r="I63" s="4" t="s">
        <v>562</v>
      </c>
      <c r="J63" s="4"/>
    </row>
    <row r="64" spans="1:66" x14ac:dyDescent="0.2">
      <c r="H64" s="4" t="s">
        <v>337</v>
      </c>
      <c r="I64" s="4" t="s">
        <v>563</v>
      </c>
      <c r="J64" s="4"/>
    </row>
    <row r="65" spans="8:9" x14ac:dyDescent="0.2">
      <c r="H65" s="4" t="s">
        <v>338</v>
      </c>
      <c r="I65" s="4" t="s">
        <v>563</v>
      </c>
    </row>
    <row r="66" spans="8:9" x14ac:dyDescent="0.2">
      <c r="H66" s="4" t="s">
        <v>339</v>
      </c>
      <c r="I66" s="4" t="s">
        <v>564</v>
      </c>
    </row>
    <row r="67" spans="8:9" x14ac:dyDescent="0.2">
      <c r="H67" s="4" t="s">
        <v>440</v>
      </c>
      <c r="I67" s="4" t="s">
        <v>564</v>
      </c>
    </row>
    <row r="68" spans="8:9" x14ac:dyDescent="0.2">
      <c r="H68" s="4" t="s">
        <v>341</v>
      </c>
      <c r="I68" s="4" t="s">
        <v>565</v>
      </c>
    </row>
    <row r="69" spans="8:9" x14ac:dyDescent="0.2">
      <c r="H69" s="4" t="s">
        <v>342</v>
      </c>
      <c r="I69" s="4" t="s">
        <v>565</v>
      </c>
    </row>
    <row r="70" spans="8:9" x14ac:dyDescent="0.2">
      <c r="H70" s="4" t="s">
        <v>343</v>
      </c>
      <c r="I70" s="4" t="s">
        <v>566</v>
      </c>
    </row>
    <row r="71" spans="8:9" x14ac:dyDescent="0.2">
      <c r="H71" s="4" t="s">
        <v>344</v>
      </c>
      <c r="I71" s="4" t="s">
        <v>566</v>
      </c>
    </row>
  </sheetData>
  <protectedRanges>
    <protectedRange sqref="E27:R28 E37:R38 E7:R8 E12:R13 E32:R33 E42:R43 E17:R18 E22:R23" name="DDR2StrobesA"/>
  </protectedRanges>
  <mergeCells count="1">
    <mergeCell ref="A1:D1"/>
  </mergeCells>
  <phoneticPr fontId="25" type="noConversion"/>
  <conditionalFormatting sqref="A1:BL1">
    <cfRule type="expression" dxfId="120" priority="9" stopIfTrue="1">
      <formula>$E$1 = "Fail"</formula>
    </cfRule>
    <cfRule type="expression" dxfId="119" priority="10" stopIfTrue="1">
      <formula>$E$1 = "Pass"</formula>
    </cfRule>
  </conditionalFormatting>
  <conditionalFormatting sqref="U7:U8 U12:U13 U17:U18 U22:U23 U27:U28 U32:U33 U37:U38 U42:U43">
    <cfRule type="cellIs" dxfId="118" priority="11" stopIfTrue="1" operator="greaterThan">
      <formula>4750</formula>
    </cfRule>
    <cfRule type="cellIs" dxfId="117" priority="12" stopIfTrue="1" operator="lessThan">
      <formula>4750</formula>
    </cfRule>
  </conditionalFormatting>
  <conditionalFormatting sqref="Z7:AA8 AH7:AI8 AP7:AQ8 Z12:AA13 AH12:AI13 AP12:AQ13 Z17:AA18 AH17:AI18 AP17:AQ18 Z22:AA23 AH22:AI23 AP22:AQ23 Z27:AA28 AH27:AI28 AP27:AQ28 Z32:AA33 AH32:AI33 AP32:AQ33 Z37:AA38 AH37:AI38 AP37:AQ38 Z42:AA43 AH42:AI43 AP42:AQ43">
    <cfRule type="cellIs" priority="7" stopIfTrue="1" operator="equal">
      <formula>"Pass"</formula>
    </cfRule>
    <cfRule type="cellIs" dxfId="116" priority="8" stopIfTrue="1" operator="notEqual">
      <formula>"Pass"</formula>
    </cfRule>
  </conditionalFormatting>
  <conditionalFormatting sqref="AD7:AD8 AL7:AL8 AD12:AD13 AL12:AL13 AD17:AD18 AL17:AL18 AD22:AD23 AL22:AL23 AD27:AD28 AL27:AL28 AD32:AD33 AL32:AL33 AD37:AD38 AL37:AL38 AD42:AD43 AL42:AL43">
    <cfRule type="cellIs" dxfId="115" priority="5" stopIfTrue="1" operator="greaterThan">
      <formula>6250</formula>
    </cfRule>
    <cfRule type="cellIs" dxfId="114" priority="6" stopIfTrue="1" operator="lessThan">
      <formula>6250</formula>
    </cfRule>
  </conditionalFormatting>
  <conditionalFormatting sqref="AS7:BD8 BF7:BK8 AS12:BD13 BF12:BK13 AS17:BD18 BF17:BK18 AS22:BD23 BF22:BK23 AS27:BD28 BF27:BK28 AS32:BD33 BF32:BK33 AS37:BD38 BF37:BK38 AS42:BD43 BF42:BK43">
    <cfRule type="cellIs" dxfId="113" priority="2" stopIfTrue="1" operator="notEqual">
      <formula>"Pass"</formula>
    </cfRule>
  </conditionalFormatting>
  <conditionalFormatting sqref="AS7:BK8 AS12:BK13 AS17:BK18 AS22:BK23 AS27:BK28 AS32:BK33 AS37:BK38 AS42:BK43">
    <cfRule type="cellIs" dxfId="112" priority="1" stopIfTrue="1" operator="equal">
      <formula>"Pass"</formula>
    </cfRule>
  </conditionalFormatting>
  <conditionalFormatting sqref="BE7:BE8 BE12:BE13 BE17:BE18 BE22:BE23 BE27:BE28 BE32:BE33 BE37:BE38 BE42:BE43">
    <cfRule type="cellIs" dxfId="111" priority="4" stopIfTrue="1" operator="notEqual">
      <formula>"pass"</formula>
    </cfRule>
  </conditionalFormatting>
  <pageMargins left="0.75" right="0.75" top="1" bottom="1" header="0.5" footer="0.5"/>
  <pageSetup paperSize="9" orientation="landscape" verticalDpi="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Visio.Drawing.11" shapeId="36865" r:id="rId4">
          <objectPr defaultSize="0" autoPict="0" r:id="rId5">
            <anchor moveWithCells="1">
              <from>
                <xdr:col>4</xdr:col>
                <xdr:colOff>28575</xdr:colOff>
                <xdr:row>45</xdr:row>
                <xdr:rowOff>47625</xdr:rowOff>
              </from>
              <to>
                <xdr:col>15</xdr:col>
                <xdr:colOff>923925</xdr:colOff>
                <xdr:row>61</xdr:row>
                <xdr:rowOff>152400</xdr:rowOff>
              </to>
            </anchor>
          </objectPr>
        </oleObject>
      </mc:Choice>
      <mc:Fallback>
        <oleObject progId="Visio.Drawing.11" shapeId="36865" r:id="rId4"/>
      </mc:Fallback>
    </mc:AlternateContent>
  </oleObjects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3"/>
  <dimension ref="A1:BX217"/>
  <sheetViews>
    <sheetView zoomScale="75" workbookViewId="0">
      <selection activeCell="AS27" sqref="AS27"/>
    </sheetView>
  </sheetViews>
  <sheetFormatPr defaultRowHeight="12.75" x14ac:dyDescent="0.2"/>
  <cols>
    <col min="1" max="1" width="15.140625" style="4" customWidth="1"/>
    <col min="2" max="2" width="10.28515625" style="22" customWidth="1"/>
    <col min="3" max="3" width="10.7109375" style="20" customWidth="1"/>
    <col min="4" max="4" width="1" style="3" customWidth="1"/>
    <col min="5" max="5" width="11.28515625" style="4" customWidth="1"/>
    <col min="6" max="6" width="12.42578125" style="4" customWidth="1"/>
    <col min="7" max="7" width="10.140625" style="3" customWidth="1"/>
    <col min="8" max="13" width="12" style="3" customWidth="1"/>
    <col min="14" max="16" width="16.42578125" style="3" customWidth="1"/>
    <col min="17" max="17" width="15.42578125" style="3" customWidth="1"/>
    <col min="18" max="18" width="1.140625" style="4" customWidth="1"/>
    <col min="19" max="19" width="15.5703125" style="3" customWidth="1"/>
    <col min="20" max="20" width="18.140625" style="20" customWidth="1"/>
    <col min="21" max="21" width="11.85546875" style="4" customWidth="1"/>
    <col min="22" max="22" width="12.140625" style="4" customWidth="1"/>
    <col min="23" max="23" width="1" style="4" customWidth="1"/>
    <col min="24" max="24" width="13.7109375" style="3" customWidth="1"/>
    <col min="25" max="25" width="12.5703125" style="3" customWidth="1"/>
    <col min="26" max="26" width="1.140625" style="4" customWidth="1"/>
    <col min="27" max="27" width="27" style="3" customWidth="1"/>
    <col min="28" max="28" width="27" style="20" customWidth="1"/>
    <col min="29" max="29" width="11.140625" style="4" customWidth="1"/>
    <col min="30" max="30" width="13.5703125" style="4" customWidth="1"/>
    <col min="31" max="31" width="1" style="4" customWidth="1"/>
    <col min="32" max="32" width="13.7109375" style="3" customWidth="1"/>
    <col min="33" max="33" width="14.28515625" style="3" customWidth="1"/>
    <col min="34" max="34" width="1.140625" style="4" customWidth="1"/>
    <col min="35" max="35" width="27" style="3" customWidth="1"/>
    <col min="36" max="36" width="27" style="20" customWidth="1"/>
    <col min="37" max="37" width="11.140625" style="4" customWidth="1"/>
    <col min="38" max="38" width="13.5703125" style="4" customWidth="1"/>
    <col min="39" max="39" width="1" style="4" customWidth="1"/>
    <col min="40" max="40" width="13.7109375" style="3" customWidth="1"/>
    <col min="41" max="41" width="14.28515625" style="3" customWidth="1"/>
    <col min="42" max="42" width="1" style="4" customWidth="1"/>
    <col min="43" max="43" width="14.28515625" style="4" customWidth="1"/>
    <col min="44" max="44" width="13.7109375" style="4" customWidth="1"/>
    <col min="45" max="45" width="14.28515625" style="22" hidden="1" customWidth="1"/>
    <col min="46" max="48" width="14.28515625" style="22" customWidth="1"/>
    <col min="49" max="49" width="17.28515625" style="22" customWidth="1"/>
    <col min="50" max="51" width="14.28515625" style="22" customWidth="1"/>
    <col min="52" max="52" width="27.85546875" style="22" customWidth="1"/>
    <col min="53" max="53" width="14" style="22" customWidth="1"/>
    <col min="54" max="54" width="14.42578125" style="22" customWidth="1"/>
    <col min="55" max="55" width="19" style="22" customWidth="1"/>
    <col min="56" max="58" width="19.42578125" style="22" customWidth="1"/>
    <col min="59" max="59" width="0.85546875" style="22" customWidth="1"/>
    <col min="60" max="60" width="17.85546875" style="22" customWidth="1"/>
    <col min="61" max="61" width="21.140625" style="22" customWidth="1"/>
    <col min="62" max="62" width="2.140625" style="4" customWidth="1"/>
    <col min="63" max="63" width="11.42578125" style="22" customWidth="1"/>
    <col min="64" max="64" width="11.28515625" style="22" customWidth="1"/>
    <col min="65" max="65" width="16.28515625" style="22" customWidth="1"/>
    <col min="66" max="66" width="11.42578125" style="22" customWidth="1"/>
    <col min="67" max="67" width="11.28515625" style="22" customWidth="1"/>
    <col min="68" max="68" width="16.28515625" style="22" customWidth="1"/>
    <col min="69" max="69" width="11.85546875" style="4" customWidth="1"/>
    <col min="70" max="70" width="11.28515625" style="22" customWidth="1"/>
    <col min="71" max="71" width="11.42578125" style="22" customWidth="1"/>
    <col min="72" max="72" width="16.28515625" style="22" customWidth="1"/>
    <col min="73" max="73" width="12.85546875" style="4" customWidth="1"/>
    <col min="74" max="74" width="11.28515625" style="22" customWidth="1"/>
    <col min="75" max="75" width="11.42578125" style="22" customWidth="1"/>
    <col min="76" max="76" width="16.28515625" style="22" customWidth="1"/>
    <col min="77" max="16384" width="9.140625" style="2"/>
  </cols>
  <sheetData>
    <row r="1" spans="1:76" ht="26.25" x14ac:dyDescent="0.2">
      <c r="A1" s="1001" t="s">
        <v>156</v>
      </c>
      <c r="B1" s="1003"/>
      <c r="C1" s="1003"/>
      <c r="D1" s="1003"/>
      <c r="E1" s="1002" t="e">
        <f ca="1">IF(AND(BI7="Pass",BI19="Pass",BI31="Pass",BI43="Pass",BI55="Pass",BI67="Pass",BI79="Pass"),"Pass","Fail")</f>
        <v>#REF!</v>
      </c>
      <c r="F1" s="100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BJ1" s="2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</row>
    <row r="2" spans="1:76" customFormat="1" ht="18" x14ac:dyDescent="0.2">
      <c r="A2" s="81" t="s">
        <v>58</v>
      </c>
      <c r="B2" s="269" t="e">
        <f>'DDR2 Clocks - 2L'!B2</f>
        <v>#REF!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</row>
    <row r="3" spans="1:76" s="41" customFormat="1" ht="87.75" customHeight="1" x14ac:dyDescent="0.2">
      <c r="A3" s="86" t="s">
        <v>494</v>
      </c>
      <c r="B3" s="86" t="s">
        <v>511</v>
      </c>
      <c r="C3" s="88" t="s">
        <v>512</v>
      </c>
      <c r="D3" s="88"/>
      <c r="E3" s="87" t="e">
        <f>"Escape       Length L0 ["&amp;$B$2&amp;"]"</f>
        <v>#REF!</v>
      </c>
      <c r="F3" s="87" t="e">
        <f>"Breakout Length L1  ["&amp;$B$2&amp;"]"</f>
        <v>#REF!</v>
      </c>
      <c r="G3" s="87" t="e">
        <f>"Main      Length L2  ["&amp;$B$2&amp;"]"</f>
        <v>#REF!</v>
      </c>
      <c r="H3" s="87" t="e">
        <f>"Breakin     Length S1  ["&amp;$B$2&amp;"]"</f>
        <v>#REF!</v>
      </c>
      <c r="I3" s="107" t="e">
        <f>"Stripline Route to Rs L3 ["&amp;$B$2&amp;"]"</f>
        <v>#REF!</v>
      </c>
      <c r="J3" s="107" t="e">
        <f>"Breakin to Rs L4 ["&amp;$B$2&amp;"]"</f>
        <v>#REF!</v>
      </c>
      <c r="K3" s="107" t="e">
        <f>"Rs length ["&amp;$B$2&amp;"]"</f>
        <v>#REF!</v>
      </c>
      <c r="L3" s="107" t="e">
        <f>"Breakout from Rs L5 ["&amp;$B$2&amp;"]"</f>
        <v>#REF!</v>
      </c>
      <c r="M3" s="107" t="e">
        <f>"Stripline between Rs and SDRAM L6 ["&amp;$B$2&amp;"]"</f>
        <v>#REF!</v>
      </c>
      <c r="N3" s="107" t="e">
        <f>"Breakin to SDRAM L7-1 ["&amp;$B$2&amp;"]"</f>
        <v>#REF!</v>
      </c>
      <c r="O3" s="107" t="e">
        <f>"Breakin to SDRAM L7-2 ["&amp;$B$2&amp;"]"</f>
        <v>#REF!</v>
      </c>
      <c r="P3" s="107" t="e">
        <f>"Breakin to SDRAM L8-1 ["&amp;$B$2&amp;"]"</f>
        <v>#REF!</v>
      </c>
      <c r="Q3" s="107" t="e">
        <f>"Breakin to SDRAM L8-2 ["&amp;$B$2&amp;"]"</f>
        <v>#REF!</v>
      </c>
      <c r="R3" s="107"/>
      <c r="S3" s="532" t="e">
        <f>"Total MB Length to SODIMM (L0+L1+L2+S1)  ["&amp;$B$2&amp;"]"</f>
        <v>#REF!</v>
      </c>
      <c r="T3" s="5" t="e">
        <f>"Total Pad-to-SODIMM Connector Length (P0+L0+L1+L2+S1)  ["&amp;$B$2&amp;"]"</f>
        <v>#REF!</v>
      </c>
      <c r="U3" s="5" t="e">
        <f>"Target Min Length to SODIMM
["&amp;$B$2&amp;"]"</f>
        <v>#REF!</v>
      </c>
      <c r="V3" s="5" t="e">
        <f>"Target Max Length to SODIMM 
["&amp;$B$2&amp;"]"</f>
        <v>#REF!</v>
      </c>
      <c r="W3" s="5"/>
      <c r="X3" s="5" t="e">
        <f>"Length to SODIMM Routed Too Short  ["&amp;$B$2&amp;"]"</f>
        <v>#REF!</v>
      </c>
      <c r="Y3" s="5" t="e">
        <f>"Length to SODIMM Routed Too Long  ["&amp;$B$2&amp;"]"</f>
        <v>#REF!</v>
      </c>
      <c r="Z3" s="5"/>
      <c r="AA3" s="532" t="e">
        <f>"Total MB Length to SDRAM (L0+L1+L2+L3+L4+Rs+L5+L6+L7-1+L8-1)  ["&amp;$B$2&amp;"]"</f>
        <v>#REF!</v>
      </c>
      <c r="AB3" s="532" t="e">
        <f>"Total MB Length to SDRAM (P0+L0+L1+L2+L3+L4+Rs+L5+L6+L7-1+L8-1)  ["&amp;$B$2&amp;"]"</f>
        <v>#REF!</v>
      </c>
      <c r="AC3" s="5" t="e">
        <f>"Target Min Length to SDRAM (U1-U4)
["&amp;$B$2&amp;"]"</f>
        <v>#REF!</v>
      </c>
      <c r="AD3" s="5" t="e">
        <f>"Target Max Length to SDRAM (U1-U4) 
["&amp;$B$2&amp;"]"</f>
        <v>#REF!</v>
      </c>
      <c r="AE3" s="5"/>
      <c r="AF3" s="5" t="e">
        <f>"Length to SDRAM (U1-U4) Routed Too Short  ["&amp;$B$2&amp;"]"</f>
        <v>#REF!</v>
      </c>
      <c r="AG3" s="5" t="e">
        <f>"Length to SDRAM (U1-U4) Routed Too Long  ["&amp;$B$2&amp;"]"</f>
        <v>#REF!</v>
      </c>
      <c r="AH3" s="5"/>
      <c r="AI3" s="532" t="e">
        <f>"Total MB Length to SDRAM (L0+L1+L2+L3+L4+Rs+L5+L6+L7-2+L8-2)  ["&amp;$B$2&amp;"]"</f>
        <v>#REF!</v>
      </c>
      <c r="AJ3" s="532" t="e">
        <f>"Total MB Length to SDRAM (P0+L0+L1+L2+L3+L4+Rs+L5+L6+L7-2+L8-2)  ["&amp;$B$2&amp;"]"</f>
        <v>#REF!</v>
      </c>
      <c r="AK3" s="5" t="e">
        <f>"Target Min Length to SDRAM (U5-U8)
["&amp;$B$2&amp;"]"</f>
        <v>#REF!</v>
      </c>
      <c r="AL3" s="5" t="e">
        <f>"Target Max Length to SDRAM (U5-U8) 
["&amp;$B$2&amp;"]"</f>
        <v>#REF!</v>
      </c>
      <c r="AM3" s="5"/>
      <c r="AN3" s="5" t="e">
        <f>"Length to SDRAM (U5-U8) Routed Too Short  ["&amp;$B$2&amp;"]"</f>
        <v>#REF!</v>
      </c>
      <c r="AO3" s="5" t="e">
        <f>"Length to SDRAM (U5-U8) Routed Too Long ["&amp;$B$2&amp;"]"</f>
        <v>#REF!</v>
      </c>
      <c r="AP3" s="5"/>
      <c r="AQ3" s="5" t="e">
        <f>"L0 Length Test (&lt;="&amp;IF($B$2="mil",1,0.0254)*50&amp;$B$2&amp;")"</f>
        <v>#REF!</v>
      </c>
      <c r="AR3" s="5" t="e">
        <f>"L1 Length Test (&lt;="&amp;IF($B$2="mil",1,0.0254)*500&amp;$B$2&amp;")"</f>
        <v>#REF!</v>
      </c>
      <c r="AS3" s="5" t="e">
        <f>"S1 Length Test (&lt;="&amp;IF($B$2="mil",1,0.0254)*250&amp;$B$2&amp;")"</f>
        <v>#REF!</v>
      </c>
      <c r="AT3" s="5" t="e">
        <f>"L3 Length Test (&lt;="&amp;IF($B$2="mil",1,0.0254)*750&amp;$B$2&amp;" or L3 + L4 &lt;="&amp; IF($B$2="mil",1,0.0254)*875&amp;$B$2&amp;")"</f>
        <v>#REF!</v>
      </c>
      <c r="AU3" s="5" t="e">
        <f>"L4 Length Test (&lt;="&amp;IF($B$2="mil",1,0.0254)*125&amp;$B$2&amp;")"</f>
        <v>#REF!</v>
      </c>
      <c r="AV3" s="5" t="e">
        <f>"L5 Length Test (&lt;="&amp;IF($B$2="mil",1,0.0254)*125&amp;$B$2&amp;")"</f>
        <v>#REF!</v>
      </c>
      <c r="AW3" s="5" t="e">
        <f>"L6 Length Test (&lt;="&amp;IF($B$2="mil",1,0.0254)*1200&amp;$B$2&amp;" or L5+L6&lt;="&amp;IF($B$2="mil",1,0.0254)*1275&amp;$B$2&amp;")"</f>
        <v>#REF!</v>
      </c>
      <c r="AX3" s="5" t="e">
        <f>"L7-1 Length Test (&lt;="&amp;IF($B$2="mil",1,0.0254)*150&amp;$B$2&amp;")"</f>
        <v>#REF!</v>
      </c>
      <c r="AY3" s="5" t="e">
        <f>"L7-2 Length Test (&lt;="&amp;IF($B$2="mil",1,0.0254)*150&amp;$B$2&amp;")"</f>
        <v>#REF!</v>
      </c>
      <c r="AZ3" s="5" t="e">
        <f>"L7 Matching Test (Maximum L7 - Minimum L7 &lt;="&amp;IF($B$2="mil",1,0.0254)*50&amp;IF($B$2="mil","mil","mm")&amp;")"</f>
        <v>#REF!</v>
      </c>
      <c r="BA3" s="5" t="e">
        <f>"L8-1 Length Test (&lt;="&amp;IF($B$2="mil",1,0.0254)*150&amp;$B$2&amp;") or (L7-1+L8-1 &lt;= "&amp;IF($B$2="mil",1,0.0254)*200&amp;$B$2&amp;")"</f>
        <v>#REF!</v>
      </c>
      <c r="BB3" s="5" t="e">
        <f>"L8-2 Length Test (&lt;="&amp;IF($B$2="mil",1,0.0254)*150&amp;$B$2&amp;") or (L7-2+L8-2 &lt;= "&amp;IF($B$2="mil",1,0.0254)*200&amp;$B$2&amp;")"</f>
        <v>#REF!</v>
      </c>
      <c r="BC3" s="5" t="e">
        <f>"Total MB Length to SODIMM (L0+L1+L2+S1) Test
 "&amp;IF($B$2="mil","(500-4000mil)","(12.7-114.3mm)")</f>
        <v>#REF!</v>
      </c>
      <c r="BD3" s="5" t="e">
        <f>"Total Length to SODIMM (P0+L0+L1+L2+S1) Test
 (&lt;="&amp; IF($B$2="mil","4500mil","127mm")&amp;")"</f>
        <v>#REF!</v>
      </c>
      <c r="BE3" s="5" t="e">
        <f>"Total MB Length to SDRAM (L0+L1+L2+L3+L4+Rs+L5+L6+L7+L8) Test
 "&amp;IF($B$2="mil","(500-5500mil)","(12.7-114.3mm)")</f>
        <v>#REF!</v>
      </c>
      <c r="BF3" s="5" t="e">
        <f>"Total Length to SDRAM (P0+L0+L1+L2+L3+L4+Rs+L5+L6+L7+L8) Test
 (&lt;="&amp; IF($B$2="mil","6000mil","127mm")&amp;")"</f>
        <v>#REF!</v>
      </c>
      <c r="BG3" s="5"/>
    </row>
    <row r="4" spans="1:76" x14ac:dyDescent="0.2">
      <c r="A4" s="94" t="s">
        <v>245</v>
      </c>
      <c r="B4" s="438"/>
      <c r="C4" s="109"/>
      <c r="D4" s="8"/>
      <c r="E4" s="8"/>
      <c r="F4" s="19"/>
      <c r="G4" s="7"/>
      <c r="H4" s="7"/>
      <c r="I4" s="7"/>
      <c r="J4" s="7"/>
      <c r="K4" s="7"/>
      <c r="L4" s="7"/>
      <c r="M4" s="7"/>
      <c r="N4" s="7"/>
      <c r="O4" s="7"/>
      <c r="P4" s="7"/>
      <c r="Q4" s="8"/>
      <c r="R4" s="8"/>
      <c r="S4" s="7"/>
      <c r="T4" s="8"/>
      <c r="U4" s="42"/>
      <c r="V4" s="8"/>
      <c r="W4" s="8"/>
      <c r="X4" s="13"/>
      <c r="Y4" s="15"/>
      <c r="Z4" s="8"/>
      <c r="AA4" s="7"/>
      <c r="AB4" s="8"/>
      <c r="AC4" s="42"/>
      <c r="AD4" s="8"/>
      <c r="AE4" s="8"/>
      <c r="AF4" s="13"/>
      <c r="AG4" s="15"/>
      <c r="AH4" s="8"/>
      <c r="AI4" s="7"/>
      <c r="AJ4" s="8"/>
      <c r="AK4" s="42"/>
      <c r="AL4" s="8"/>
      <c r="AM4" s="8"/>
      <c r="AN4" s="13"/>
      <c r="AO4" s="15"/>
      <c r="AP4" s="8"/>
      <c r="AQ4" s="15"/>
      <c r="AR4" s="15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0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</row>
    <row r="5" spans="1:76" x14ac:dyDescent="0.2">
      <c r="A5" s="103" t="str">
        <f>'DDR2 Strobes - 2x16_1R SODIMM'!$A$7</f>
        <v>SA_DQS0</v>
      </c>
      <c r="B5" s="439" t="str">
        <f>'DDR2 Strobes - 2x16_1R SODIMM'!$B$7</f>
        <v>Y25</v>
      </c>
      <c r="C5" s="110"/>
      <c r="D5" s="44"/>
      <c r="E5" s="66"/>
      <c r="F5" s="66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  <c r="R5" s="67"/>
      <c r="S5" s="67"/>
      <c r="T5" s="48"/>
      <c r="U5" s="48" t="e">
        <f>'DDR2 Strobes - 2x16_1R SODIMM'!$U$7</f>
        <v>#REF!</v>
      </c>
      <c r="V5" s="48"/>
      <c r="W5" s="48"/>
      <c r="X5" s="48"/>
      <c r="Y5" s="535"/>
      <c r="Z5" s="48"/>
      <c r="AA5" s="67"/>
      <c r="AB5" s="48"/>
      <c r="AC5" s="48" t="e">
        <f>'DDR2 Strobes - 2x16_1R SODIMM'!$AD$7</f>
        <v>#REF!</v>
      </c>
      <c r="AD5" s="48"/>
      <c r="AE5" s="48"/>
      <c r="AF5" s="48"/>
      <c r="AG5" s="535"/>
      <c r="AH5" s="48"/>
      <c r="AI5" s="67"/>
      <c r="AJ5" s="48"/>
      <c r="AK5" s="48" t="e">
        <f>'DDR2 Strobes - 2x16_1R SODIMM'!$AL$7</f>
        <v>#REF!</v>
      </c>
      <c r="AL5" s="48"/>
      <c r="AM5" s="48"/>
      <c r="AN5" s="48"/>
      <c r="AO5" s="535"/>
      <c r="AP5" s="48"/>
      <c r="AQ5" s="535"/>
      <c r="AR5" s="535"/>
      <c r="AS5" s="535"/>
      <c r="AT5" s="535"/>
      <c r="AU5" s="535"/>
      <c r="AV5" s="535"/>
      <c r="AW5" s="535"/>
      <c r="AX5" s="535"/>
      <c r="AY5" s="535"/>
      <c r="AZ5" s="535"/>
      <c r="BA5" s="535"/>
      <c r="BB5" s="535"/>
      <c r="BC5" s="535"/>
      <c r="BD5" s="535"/>
      <c r="BE5" s="535"/>
      <c r="BF5" s="535"/>
      <c r="BG5" s="48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</row>
    <row r="6" spans="1:76" x14ac:dyDescent="0.2">
      <c r="A6" s="103" t="str">
        <f>'DDR2 Strobes - 2x16_1R SODIMM'!$A$8</f>
        <v>SA_DQS0#</v>
      </c>
      <c r="B6" s="439" t="str">
        <f>'DDR2 Strobes - 2x16_1R SODIMM'!$B$8</f>
        <v>W24</v>
      </c>
      <c r="C6" s="110"/>
      <c r="D6" s="44"/>
      <c r="E6" s="66"/>
      <c r="F6" s="66"/>
      <c r="G6" s="261"/>
      <c r="H6" s="261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537"/>
      <c r="U6" s="48" t="e">
        <f>'DDR2 Strobes - 2x16_1R SODIMM'!$U$8</f>
        <v>#REF!</v>
      </c>
      <c r="V6" s="48"/>
      <c r="W6" s="48"/>
      <c r="X6" s="48"/>
      <c r="Y6" s="535"/>
      <c r="Z6" s="48"/>
      <c r="AA6" s="536"/>
      <c r="AB6" s="537"/>
      <c r="AC6" s="48" t="e">
        <f>'DDR2 Strobes - 2x16_1R SODIMM'!$AD$8</f>
        <v>#REF!</v>
      </c>
      <c r="AD6" s="48"/>
      <c r="AE6" s="48"/>
      <c r="AF6" s="48"/>
      <c r="AG6" s="535"/>
      <c r="AH6" s="48"/>
      <c r="AI6" s="536"/>
      <c r="AJ6" s="537"/>
      <c r="AK6" s="48" t="e">
        <f>'DDR2 Strobes - 2x16_1R SODIMM'!$AL$8</f>
        <v>#REF!</v>
      </c>
      <c r="AL6" s="48"/>
      <c r="AM6" s="48"/>
      <c r="AN6" s="48"/>
      <c r="AO6" s="535"/>
      <c r="AP6" s="48"/>
      <c r="AQ6" s="535"/>
      <c r="AR6" s="535"/>
      <c r="AS6" s="538"/>
      <c r="AT6" s="538"/>
      <c r="AU6" s="538"/>
      <c r="AV6" s="538"/>
      <c r="AW6" s="538"/>
      <c r="AX6" s="538"/>
      <c r="AY6" s="538"/>
      <c r="AZ6" s="538"/>
      <c r="BA6" s="538"/>
      <c r="BB6" s="538"/>
      <c r="BC6" s="538"/>
      <c r="BD6" s="538"/>
      <c r="BE6" s="538"/>
      <c r="BF6" s="538"/>
      <c r="BG6" s="48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</row>
    <row r="7" spans="1:76" x14ac:dyDescent="0.2">
      <c r="A7" s="560" t="s">
        <v>169</v>
      </c>
      <c r="B7" s="589" t="s">
        <v>550</v>
      </c>
      <c r="C7" s="584">
        <v>385.1968503937008</v>
      </c>
      <c r="D7" s="16"/>
      <c r="E7" s="17">
        <v>22.63</v>
      </c>
      <c r="F7" s="17">
        <v>0</v>
      </c>
      <c r="G7">
        <v>1740</v>
      </c>
      <c r="H7">
        <v>50</v>
      </c>
      <c r="I7">
        <v>750</v>
      </c>
      <c r="J7">
        <v>50</v>
      </c>
      <c r="K7" s="17">
        <v>40</v>
      </c>
      <c r="L7">
        <v>75</v>
      </c>
      <c r="M7">
        <v>959</v>
      </c>
      <c r="N7" s="271">
        <v>50</v>
      </c>
      <c r="O7" s="271">
        <v>50</v>
      </c>
      <c r="P7">
        <v>22</v>
      </c>
      <c r="Q7">
        <v>22</v>
      </c>
      <c r="R7" s="58"/>
      <c r="S7" s="441">
        <f xml:space="preserve"> E7+F7+G7+H7</f>
        <v>1812.63</v>
      </c>
      <c r="T7" s="441" t="e">
        <f t="shared" ref="T7:T15" si="0">S7+IF($B$2="mil",1,0.0254)*C7</f>
        <v>#REF!</v>
      </c>
      <c r="U7" s="441" t="e">
        <f>MAX(U$5:U$6)+IF($B$2="mil",1,0.0254)*DDR2Specs!$B$3</f>
        <v>#REF!</v>
      </c>
      <c r="V7" s="441" t="e">
        <f>MIN(U$5:U$6)+IF($B$2="mil",1,0.0254)*DDR2Specs!$C$3</f>
        <v>#REF!</v>
      </c>
      <c r="W7" s="18"/>
      <c r="X7" s="534" t="e">
        <f t="shared" ref="X7:X15" si="1">IF($T7&lt;$U7,$U7-$T7,"Pass")</f>
        <v>#REF!</v>
      </c>
      <c r="Y7" s="447" t="e">
        <f>IF($T7&gt;$V7,$T7-$V7,"Pass")</f>
        <v>#REF!</v>
      </c>
      <c r="Z7" s="18"/>
      <c r="AA7" s="441">
        <f t="shared" ref="AA7:AA15" si="2">SUM(E7:G7,I7:N7,P7)</f>
        <v>3708.63</v>
      </c>
      <c r="AB7" s="441" t="e">
        <f t="shared" ref="AB7:AB15" si="3">AA7+IF($B$2="mil",1,0.0254)*$C7</f>
        <v>#REF!</v>
      </c>
      <c r="AC7" s="441" t="e">
        <f>MAX(AC$5:AC$6)+IF($B$2="mil",1,0.0254)*DDR2Specs!$E$3</f>
        <v>#REF!</v>
      </c>
      <c r="AD7" s="441" t="e">
        <f>MIN(AC$5:AC$6)+IF($B$2="mil",1,0.0254)*DDR2Specs!$F$3</f>
        <v>#REF!</v>
      </c>
      <c r="AE7" s="18"/>
      <c r="AF7" s="534" t="e">
        <f>IF($AB7&lt;$AC7,$AC7-$AB7,"Pass")</f>
        <v>#REF!</v>
      </c>
      <c r="AG7" s="447" t="e">
        <f t="shared" ref="AG7:AG15" si="4">IF($AB7&gt;$AD7,$AB7-$AD7,"Pass")</f>
        <v>#REF!</v>
      </c>
      <c r="AH7" s="18"/>
      <c r="AI7" s="441">
        <f t="shared" ref="AI7:AI15" si="5">SUM(E7:G7,I7:M7,O7,Q7)</f>
        <v>3708.63</v>
      </c>
      <c r="AJ7" s="441" t="e">
        <f t="shared" ref="AJ7:AJ15" si="6">AI7+IF($B$2="mil",1,0.0254)*$C7</f>
        <v>#REF!</v>
      </c>
      <c r="AK7" s="441" t="e">
        <f>MAX(AK$5:AK$6)+IF($B$2="mil",1,0.0254)*DDR2Specs!$E$3</f>
        <v>#REF!</v>
      </c>
      <c r="AL7" s="441" t="e">
        <f>MIN(AK$5:AK$6)+IF($B$2="mil",1,0.0254)*DDR2Specs!$F$3</f>
        <v>#REF!</v>
      </c>
      <c r="AM7" s="18"/>
      <c r="AN7" s="534" t="e">
        <f t="shared" ref="AN7:AN15" si="7">IF($AJ7&lt;$AK7,$AK7-$AJ7,"Pass")</f>
        <v>#REF!</v>
      </c>
      <c r="AO7" s="447" t="e">
        <f t="shared" ref="AO7:AO15" si="8">IF($AJ7&gt;$AL7,$AJ7-$AL7,"Pass")</f>
        <v>#REF!</v>
      </c>
      <c r="AP7" s="18"/>
      <c r="AQ7" s="447" t="e">
        <f t="shared" ref="AQ7:AQ15" si="9">IF($E7&lt;=IF($B$2="mil",1,0.0254)*50,"Pass",IF($B$2="mil",1,0.0254)*50-$E7)</f>
        <v>#REF!</v>
      </c>
      <c r="AR7" s="447" t="e">
        <f t="shared" ref="AR7:AR15" si="10">IF($F7&lt;=IF($B$2="mil",1,0.0254)*500,"Pass",IF($B$2="mil",1,0.0254)*500-$F7)</f>
        <v>#REF!</v>
      </c>
      <c r="AS7" s="447" t="e">
        <f t="shared" ref="AS7:AS15" si="11">IF($H7&lt;=IF($B$2="mil",1,0.0254)*250,"Pass",IF($B$2="mil",1,0.0254)*250-$H7)</f>
        <v>#REF!</v>
      </c>
      <c r="AT7" s="447" t="e">
        <f t="shared" ref="AT7:AT15" ca="1" si="12">CheckLength(IF($B$2="mil",1,0.0254)*750, IF($B$2="mil",1,0.0254)*125-J7, 0, I7,J7,0)</f>
        <v>#NAME?</v>
      </c>
      <c r="AU7" s="447" t="e">
        <f t="shared" ref="AU7:AU15" si="13">IF($J7&lt;=IF($B$2="mil",1,0.0254)*125,"Pass",IF($B$2="mil",1,0.0254)*125-$J7)</f>
        <v>#REF!</v>
      </c>
      <c r="AV7" s="447" t="e">
        <f t="shared" ref="AV7:AV15" si="14">IF($L7&lt;=IF($B$2="mil",1,0.0254)*125,"Pass",IF($B$2="mil",1,0.0254)*125-$L7)</f>
        <v>#REF!</v>
      </c>
      <c r="AW7" s="447" t="e">
        <f t="shared" ref="AW7:AW15" si="15">IF(($L7+$M7)&lt;=IF($B$2="mil",1,0.0254)*1275,"Pass",IF($B$2="mil",1,0.0254)*1275-($L7+H7))</f>
        <v>#REF!</v>
      </c>
      <c r="AX7" s="447" t="e">
        <f t="shared" ref="AX7:AX15" si="16">IF($N7&lt;=IF($B$2="mil",1,0.0254)*150,"Pass",IF($B$2="mil",1,0.0254)*150-$N7)</f>
        <v>#REF!</v>
      </c>
      <c r="AY7" s="447" t="e">
        <f t="shared" ref="AY7:AY15" si="17">IF($O7&lt;=IF($B$2="mil",1,0.0254)*150,"Pass",IF($B$2="mil",1,0.0254)*150-$O7)</f>
        <v>#REF!</v>
      </c>
      <c r="AZ7" s="445" t="e">
        <f t="shared" ref="AZ7:AZ15" si="18">IF(MAX(N7:O7)-MIN(N7:O7)&lt;=IF($B$2="mil",1,0.0254)*50,"Pass",MAX(N7:O7)-MIN(N7:O7)-IF($B$2="mil",1,0.0254)*50)</f>
        <v>#REF!</v>
      </c>
      <c r="BA7" s="447" t="e">
        <f ca="1">CheckLength2(IF($B$2="mil",1,0.0254)*200,$P7,N7,0)</f>
        <v>#NAME?</v>
      </c>
      <c r="BB7" s="447" t="e">
        <f ca="1">CheckLength2(IF($B$2="mil",1,0.0254)*200,$Q7,O7,0)</f>
        <v>#NAME?</v>
      </c>
      <c r="BC7" s="447" t="e">
        <f t="shared" ref="BC7:BC15" si="19">IF(AND($S7&gt;=IF($B$2="mil",1,0.0254)*500, $S7&lt;=IF($B$2="mil",1,0.0254)*4000),"Pass",IF($B$2="mil",1,0.0254)*4000-$S7)</f>
        <v>#REF!</v>
      </c>
      <c r="BD7" s="447" t="e">
        <f>IF(AND($T7&gt;=IF($B$2="mil",1,0.0254)*500, $T7&lt;=IF($B$2="mil",1,0.0254)*4500),"Pass",IF($B$2="mil",1,0.0254)*4500-$T7)</f>
        <v>#REF!</v>
      </c>
      <c r="BE7" s="447" t="e">
        <f t="shared" ref="BE7:BE15" si="20">IF(AND($AA7&gt;=IF($B$2="mil",1,0.0254)*500, $AA7&lt;=IF($B$2="mil",1,0.0254)*5500),"Pass",IF($B$2="mil",1,0.0254)*5500-$AA7)</f>
        <v>#REF!</v>
      </c>
      <c r="BF7" s="447" t="e">
        <f t="shared" ref="BF7:BF15" si="21">IF(AND($AB7&gt;=IF($B$2="mil",1,0.0254)*500, $AB7&lt;=IF($B$2="mil",1,0.0254)*6000),"Pass",IF($B$2="mil",1,0.0254)*6000-$AB7)</f>
        <v>#REF!</v>
      </c>
      <c r="BG7" s="18"/>
      <c r="BH7" s="2" t="e">
        <f t="shared" ref="BH7:BH15" ca="1" si="22">IF(AND(AN7="Pass",AO7="Pass",AQ7="Pass",BD7="Pass",AS7="Pass",AR7="Pass",BC7="Pass",X7="Pass",Y7="Pass",BB7="Pass",AW7="Pass",AX7="Pass",AY7="Pass",AZ7="Pass",BA7="Pass",AV7="Pass",AU7="Pass",AT7="Pass",AF7="Pass",AG7="Pass",BE7="Pass",BF7="Pass"),"Pass","Fail")</f>
        <v>#REF!</v>
      </c>
      <c r="BI7" s="2" t="e">
        <f ca="1">IF(AND(BH7="Pass",BH8="Pass",BH9="Pass",BH10="Pass",BH11="Pass",BH12="Pass",BH13="Pass",BH14="Pass",BH15="Pass"),"Pass","Fail")</f>
        <v>#REF!</v>
      </c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</row>
    <row r="8" spans="1:76" x14ac:dyDescent="0.2">
      <c r="A8" s="560" t="s">
        <v>170</v>
      </c>
      <c r="B8" s="589" t="s">
        <v>551</v>
      </c>
      <c r="C8" s="584">
        <v>406.77165354330714</v>
      </c>
      <c r="D8" s="16"/>
      <c r="E8" s="17">
        <v>22.63</v>
      </c>
      <c r="F8" s="17">
        <v>0</v>
      </c>
      <c r="G8">
        <v>1720</v>
      </c>
      <c r="H8">
        <v>50</v>
      </c>
      <c r="I8">
        <v>750</v>
      </c>
      <c r="J8">
        <v>50</v>
      </c>
      <c r="K8" s="17">
        <v>40</v>
      </c>
      <c r="L8">
        <v>75</v>
      </c>
      <c r="M8">
        <v>920</v>
      </c>
      <c r="N8" s="271">
        <v>100</v>
      </c>
      <c r="O8" s="271">
        <v>100</v>
      </c>
      <c r="P8">
        <v>22</v>
      </c>
      <c r="Q8">
        <v>22</v>
      </c>
      <c r="R8" s="58"/>
      <c r="S8" s="441">
        <f t="shared" ref="S8:S15" si="23" xml:space="preserve"> E8+F8+G8+H8</f>
        <v>1792.63</v>
      </c>
      <c r="T8" s="441" t="e">
        <f t="shared" si="0"/>
        <v>#REF!</v>
      </c>
      <c r="U8" s="441" t="e">
        <f>MAX(U$5:U$6)+IF($B$2="mil",1,0.0254)*DDR2Specs!$B$3</f>
        <v>#REF!</v>
      </c>
      <c r="V8" s="441" t="e">
        <f>MIN(U$5:U$6)+IF($B$2="mil",1,0.0254)*DDR2Specs!$C$3</f>
        <v>#REF!</v>
      </c>
      <c r="W8" s="18"/>
      <c r="X8" s="534" t="e">
        <f t="shared" si="1"/>
        <v>#REF!</v>
      </c>
      <c r="Y8" s="447" t="e">
        <f t="shared" ref="Y8:Y15" si="24">IF($T8&gt;$V8,$T8-$V8,"Pass")</f>
        <v>#REF!</v>
      </c>
      <c r="Z8" s="18"/>
      <c r="AA8" s="441">
        <f t="shared" si="2"/>
        <v>3699.63</v>
      </c>
      <c r="AB8" s="441" t="e">
        <f t="shared" si="3"/>
        <v>#REF!</v>
      </c>
      <c r="AC8" s="441" t="e">
        <f>MAX(AC$5:AC$6)+IF($B$2="mil",1,0.0254)*DDR2Specs!$E$3</f>
        <v>#REF!</v>
      </c>
      <c r="AD8" s="441" t="e">
        <f>MIN(AC$5:AC$6)+IF($B$2="mil",1,0.0254)*DDR2Specs!$F$3</f>
        <v>#REF!</v>
      </c>
      <c r="AE8" s="18"/>
      <c r="AF8" s="534" t="e">
        <f t="shared" ref="AF8:AF15" si="25">IF($AB8&lt;$AC8,$AC8-$AB8,"Pass")</f>
        <v>#REF!</v>
      </c>
      <c r="AG8" s="447" t="e">
        <f t="shared" si="4"/>
        <v>#REF!</v>
      </c>
      <c r="AH8" s="18"/>
      <c r="AI8" s="441">
        <f t="shared" si="5"/>
        <v>3699.63</v>
      </c>
      <c r="AJ8" s="441" t="e">
        <f t="shared" si="6"/>
        <v>#REF!</v>
      </c>
      <c r="AK8" s="441" t="e">
        <f>MAX(AK$5:AK$6)+IF($B$2="mil",1,0.0254)*DDR2Specs!$E$3</f>
        <v>#REF!</v>
      </c>
      <c r="AL8" s="441" t="e">
        <f>MIN(AK$5:AK$6)+IF($B$2="mil",1,0.0254)*DDR2Specs!$F$3</f>
        <v>#REF!</v>
      </c>
      <c r="AM8" s="18"/>
      <c r="AN8" s="534" t="e">
        <f t="shared" si="7"/>
        <v>#REF!</v>
      </c>
      <c r="AO8" s="447" t="e">
        <f t="shared" si="8"/>
        <v>#REF!</v>
      </c>
      <c r="AP8" s="18"/>
      <c r="AQ8" s="447" t="e">
        <f t="shared" si="9"/>
        <v>#REF!</v>
      </c>
      <c r="AR8" s="447" t="e">
        <f t="shared" si="10"/>
        <v>#REF!</v>
      </c>
      <c r="AS8" s="447" t="e">
        <f t="shared" si="11"/>
        <v>#REF!</v>
      </c>
      <c r="AT8" s="447" t="e">
        <f t="shared" ca="1" si="12"/>
        <v>#NAME?</v>
      </c>
      <c r="AU8" s="447" t="e">
        <f t="shared" si="13"/>
        <v>#REF!</v>
      </c>
      <c r="AV8" s="447" t="e">
        <f t="shared" si="14"/>
        <v>#REF!</v>
      </c>
      <c r="AW8" s="447" t="e">
        <f t="shared" si="15"/>
        <v>#REF!</v>
      </c>
      <c r="AX8" s="447" t="e">
        <f t="shared" si="16"/>
        <v>#REF!</v>
      </c>
      <c r="AY8" s="447" t="e">
        <f t="shared" si="17"/>
        <v>#REF!</v>
      </c>
      <c r="AZ8" s="445" t="e">
        <f t="shared" si="18"/>
        <v>#REF!</v>
      </c>
      <c r="BA8" s="447" t="e">
        <f t="shared" ref="BA8:BA15" ca="1" si="26">CheckLength2(IF($B$2="mil",1,0.0254)*200,$P8,N8,0)</f>
        <v>#NAME?</v>
      </c>
      <c r="BB8" s="447" t="e">
        <f t="shared" ref="BB8:BB15" ca="1" si="27">CheckLength2(IF($B$2="mil",1,0.0254)*200,$Q8,O8,0)</f>
        <v>#NAME?</v>
      </c>
      <c r="BC8" s="447" t="e">
        <f t="shared" si="19"/>
        <v>#REF!</v>
      </c>
      <c r="BD8" s="447" t="e">
        <f t="shared" ref="BD8:BD15" si="28">IF(AND($T8&gt;=IF($B$2="mil",1,0.0254)*500, $T8&lt;=IF($B$2="mil",1,0.0254)*4500),"Pass",IF($B$2="mil",1,0.0254)*4500-$T8)</f>
        <v>#REF!</v>
      </c>
      <c r="BE8" s="447" t="e">
        <f t="shared" si="20"/>
        <v>#REF!</v>
      </c>
      <c r="BF8" s="447" t="e">
        <f t="shared" si="21"/>
        <v>#REF!</v>
      </c>
      <c r="BG8" s="18"/>
      <c r="BH8" s="2" t="e">
        <f t="shared" ca="1" si="22"/>
        <v>#REF!</v>
      </c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</row>
    <row r="9" spans="1:76" x14ac:dyDescent="0.2">
      <c r="A9" s="560" t="s">
        <v>171</v>
      </c>
      <c r="B9" s="589" t="s">
        <v>552</v>
      </c>
      <c r="C9" s="584">
        <v>432.40157480314963</v>
      </c>
      <c r="D9" s="16"/>
      <c r="E9" s="17">
        <v>22.63</v>
      </c>
      <c r="F9" s="17">
        <v>0</v>
      </c>
      <c r="G9">
        <v>1740</v>
      </c>
      <c r="H9">
        <v>10</v>
      </c>
      <c r="I9">
        <v>750</v>
      </c>
      <c r="J9">
        <v>50</v>
      </c>
      <c r="K9" s="17">
        <v>40</v>
      </c>
      <c r="L9">
        <v>75</v>
      </c>
      <c r="M9">
        <v>872</v>
      </c>
      <c r="N9" s="271">
        <v>90</v>
      </c>
      <c r="O9" s="271">
        <v>90</v>
      </c>
      <c r="P9">
        <v>22</v>
      </c>
      <c r="Q9">
        <v>22</v>
      </c>
      <c r="R9" s="58"/>
      <c r="S9" s="441">
        <f t="shared" si="23"/>
        <v>1772.63</v>
      </c>
      <c r="T9" s="441" t="e">
        <f t="shared" si="0"/>
        <v>#REF!</v>
      </c>
      <c r="U9" s="441" t="e">
        <f>MAX(U$5:U$6)+IF($B$2="mil",1,0.0254)*DDR2Specs!$B$3</f>
        <v>#REF!</v>
      </c>
      <c r="V9" s="441" t="e">
        <f>MIN(U$5:U$6)+IF($B$2="mil",1,0.0254)*DDR2Specs!$C$3</f>
        <v>#REF!</v>
      </c>
      <c r="W9" s="18"/>
      <c r="X9" s="534" t="e">
        <f t="shared" si="1"/>
        <v>#REF!</v>
      </c>
      <c r="Y9" s="447" t="e">
        <f t="shared" si="24"/>
        <v>#REF!</v>
      </c>
      <c r="Z9" s="18"/>
      <c r="AA9" s="441">
        <f t="shared" si="2"/>
        <v>3661.63</v>
      </c>
      <c r="AB9" s="441" t="e">
        <f t="shared" si="3"/>
        <v>#REF!</v>
      </c>
      <c r="AC9" s="441" t="e">
        <f>MAX(AC$5:AC$6)+IF($B$2="mil",1,0.0254)*DDR2Specs!$E$3</f>
        <v>#REF!</v>
      </c>
      <c r="AD9" s="441" t="e">
        <f>MIN(AC$5:AC$6)+IF($B$2="mil",1,0.0254)*DDR2Specs!$F$3</f>
        <v>#REF!</v>
      </c>
      <c r="AE9" s="18"/>
      <c r="AF9" s="534" t="e">
        <f t="shared" si="25"/>
        <v>#REF!</v>
      </c>
      <c r="AG9" s="447" t="e">
        <f t="shared" si="4"/>
        <v>#REF!</v>
      </c>
      <c r="AH9" s="18"/>
      <c r="AI9" s="441">
        <f t="shared" si="5"/>
        <v>3661.63</v>
      </c>
      <c r="AJ9" s="441" t="e">
        <f t="shared" si="6"/>
        <v>#REF!</v>
      </c>
      <c r="AK9" s="441" t="e">
        <f>MAX(AK$5:AK$6)+IF($B$2="mil",1,0.0254)*DDR2Specs!$E$3</f>
        <v>#REF!</v>
      </c>
      <c r="AL9" s="441" t="e">
        <f>MIN(AK$5:AK$6)+IF($B$2="mil",1,0.0254)*DDR2Specs!$F$3</f>
        <v>#REF!</v>
      </c>
      <c r="AM9" s="18"/>
      <c r="AN9" s="534" t="e">
        <f t="shared" si="7"/>
        <v>#REF!</v>
      </c>
      <c r="AO9" s="447" t="e">
        <f t="shared" si="8"/>
        <v>#REF!</v>
      </c>
      <c r="AP9" s="18"/>
      <c r="AQ9" s="447" t="e">
        <f t="shared" si="9"/>
        <v>#REF!</v>
      </c>
      <c r="AR9" s="447" t="e">
        <f t="shared" si="10"/>
        <v>#REF!</v>
      </c>
      <c r="AS9" s="447" t="e">
        <f t="shared" si="11"/>
        <v>#REF!</v>
      </c>
      <c r="AT9" s="447" t="e">
        <f t="shared" ca="1" si="12"/>
        <v>#NAME?</v>
      </c>
      <c r="AU9" s="447" t="e">
        <f t="shared" si="13"/>
        <v>#REF!</v>
      </c>
      <c r="AV9" s="447" t="e">
        <f t="shared" si="14"/>
        <v>#REF!</v>
      </c>
      <c r="AW9" s="447" t="e">
        <f t="shared" si="15"/>
        <v>#REF!</v>
      </c>
      <c r="AX9" s="447" t="e">
        <f t="shared" si="16"/>
        <v>#REF!</v>
      </c>
      <c r="AY9" s="447" t="e">
        <f t="shared" si="17"/>
        <v>#REF!</v>
      </c>
      <c r="AZ9" s="445" t="e">
        <f t="shared" si="18"/>
        <v>#REF!</v>
      </c>
      <c r="BA9" s="447" t="e">
        <f t="shared" ca="1" si="26"/>
        <v>#NAME?</v>
      </c>
      <c r="BB9" s="447" t="e">
        <f t="shared" ca="1" si="27"/>
        <v>#NAME?</v>
      </c>
      <c r="BC9" s="447" t="e">
        <f t="shared" si="19"/>
        <v>#REF!</v>
      </c>
      <c r="BD9" s="447" t="e">
        <f t="shared" si="28"/>
        <v>#REF!</v>
      </c>
      <c r="BE9" s="447" t="e">
        <f t="shared" si="20"/>
        <v>#REF!</v>
      </c>
      <c r="BF9" s="447" t="e">
        <f t="shared" si="21"/>
        <v>#REF!</v>
      </c>
      <c r="BG9" s="18"/>
      <c r="BH9" s="2" t="e">
        <f t="shared" ca="1" si="22"/>
        <v>#REF!</v>
      </c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</row>
    <row r="10" spans="1:76" x14ac:dyDescent="0.2">
      <c r="A10" s="560" t="s">
        <v>172</v>
      </c>
      <c r="B10" s="589" t="s">
        <v>548</v>
      </c>
      <c r="C10" s="584">
        <v>395.82677165354335</v>
      </c>
      <c r="D10" s="16"/>
      <c r="E10" s="17">
        <v>22.63</v>
      </c>
      <c r="F10" s="17">
        <v>0</v>
      </c>
      <c r="G10">
        <v>1740</v>
      </c>
      <c r="H10">
        <v>40</v>
      </c>
      <c r="I10">
        <v>750</v>
      </c>
      <c r="J10">
        <v>50</v>
      </c>
      <c r="K10" s="17">
        <v>40</v>
      </c>
      <c r="L10">
        <v>75</v>
      </c>
      <c r="M10">
        <v>950</v>
      </c>
      <c r="N10" s="271">
        <v>60</v>
      </c>
      <c r="O10" s="271">
        <v>60</v>
      </c>
      <c r="P10">
        <v>22</v>
      </c>
      <c r="Q10">
        <v>22</v>
      </c>
      <c r="R10" s="58"/>
      <c r="S10" s="441">
        <f t="shared" si="23"/>
        <v>1802.63</v>
      </c>
      <c r="T10" s="441" t="e">
        <f t="shared" si="0"/>
        <v>#REF!</v>
      </c>
      <c r="U10" s="441" t="e">
        <f>MAX(U$5:U$6)+IF($B$2="mil",1,0.0254)*DDR2Specs!$B$3</f>
        <v>#REF!</v>
      </c>
      <c r="V10" s="441" t="e">
        <f>MIN(U$5:U$6)+IF($B$2="mil",1,0.0254)*DDR2Specs!$C$3</f>
        <v>#REF!</v>
      </c>
      <c r="W10" s="18"/>
      <c r="X10" s="534" t="e">
        <f t="shared" si="1"/>
        <v>#REF!</v>
      </c>
      <c r="Y10" s="447" t="e">
        <f t="shared" si="24"/>
        <v>#REF!</v>
      </c>
      <c r="Z10" s="18"/>
      <c r="AA10" s="441">
        <f t="shared" si="2"/>
        <v>3709.63</v>
      </c>
      <c r="AB10" s="441" t="e">
        <f t="shared" si="3"/>
        <v>#REF!</v>
      </c>
      <c r="AC10" s="441" t="e">
        <f>MAX(AC$5:AC$6)+IF($B$2="mil",1,0.0254)*DDR2Specs!$E$3</f>
        <v>#REF!</v>
      </c>
      <c r="AD10" s="441" t="e">
        <f>MIN(AC$5:AC$6)+IF($B$2="mil",1,0.0254)*DDR2Specs!$F$3</f>
        <v>#REF!</v>
      </c>
      <c r="AE10" s="18"/>
      <c r="AF10" s="534" t="e">
        <f t="shared" si="25"/>
        <v>#REF!</v>
      </c>
      <c r="AG10" s="447" t="e">
        <f t="shared" si="4"/>
        <v>#REF!</v>
      </c>
      <c r="AH10" s="18"/>
      <c r="AI10" s="441">
        <f t="shared" si="5"/>
        <v>3709.63</v>
      </c>
      <c r="AJ10" s="441" t="e">
        <f t="shared" si="6"/>
        <v>#REF!</v>
      </c>
      <c r="AK10" s="441" t="e">
        <f>MAX(AK$5:AK$6)+IF($B$2="mil",1,0.0254)*DDR2Specs!$E$3</f>
        <v>#REF!</v>
      </c>
      <c r="AL10" s="441" t="e">
        <f>MIN(AK$5:AK$6)+IF($B$2="mil",1,0.0254)*DDR2Specs!$F$3</f>
        <v>#REF!</v>
      </c>
      <c r="AM10" s="18"/>
      <c r="AN10" s="534" t="e">
        <f t="shared" si="7"/>
        <v>#REF!</v>
      </c>
      <c r="AO10" s="447" t="e">
        <f t="shared" si="8"/>
        <v>#REF!</v>
      </c>
      <c r="AP10" s="18"/>
      <c r="AQ10" s="447" t="e">
        <f t="shared" si="9"/>
        <v>#REF!</v>
      </c>
      <c r="AR10" s="447" t="e">
        <f t="shared" si="10"/>
        <v>#REF!</v>
      </c>
      <c r="AS10" s="447" t="e">
        <f t="shared" si="11"/>
        <v>#REF!</v>
      </c>
      <c r="AT10" s="447" t="e">
        <f t="shared" ca="1" si="12"/>
        <v>#NAME?</v>
      </c>
      <c r="AU10" s="447" t="e">
        <f t="shared" si="13"/>
        <v>#REF!</v>
      </c>
      <c r="AV10" s="447" t="e">
        <f t="shared" si="14"/>
        <v>#REF!</v>
      </c>
      <c r="AW10" s="447" t="e">
        <f t="shared" si="15"/>
        <v>#REF!</v>
      </c>
      <c r="AX10" s="447" t="e">
        <f t="shared" si="16"/>
        <v>#REF!</v>
      </c>
      <c r="AY10" s="447" t="e">
        <f t="shared" si="17"/>
        <v>#REF!</v>
      </c>
      <c r="AZ10" s="445" t="e">
        <f t="shared" si="18"/>
        <v>#REF!</v>
      </c>
      <c r="BA10" s="447" t="e">
        <f t="shared" ca="1" si="26"/>
        <v>#NAME?</v>
      </c>
      <c r="BB10" s="447" t="e">
        <f t="shared" ca="1" si="27"/>
        <v>#NAME?</v>
      </c>
      <c r="BC10" s="447" t="e">
        <f t="shared" si="19"/>
        <v>#REF!</v>
      </c>
      <c r="BD10" s="447" t="e">
        <f t="shared" si="28"/>
        <v>#REF!</v>
      </c>
      <c r="BE10" s="447" t="e">
        <f t="shared" si="20"/>
        <v>#REF!</v>
      </c>
      <c r="BF10" s="447" t="e">
        <f t="shared" si="21"/>
        <v>#REF!</v>
      </c>
      <c r="BG10" s="18"/>
      <c r="BH10" s="2" t="e">
        <f t="shared" ca="1" si="22"/>
        <v>#REF!</v>
      </c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</row>
    <row r="11" spans="1:76" x14ac:dyDescent="0.2">
      <c r="A11" s="560" t="s">
        <v>173</v>
      </c>
      <c r="B11" s="589" t="s">
        <v>549</v>
      </c>
      <c r="C11" s="584">
        <v>371.81102362204729</v>
      </c>
      <c r="D11" s="16"/>
      <c r="E11" s="17">
        <v>22.63</v>
      </c>
      <c r="F11" s="17">
        <v>0</v>
      </c>
      <c r="G11">
        <v>1740</v>
      </c>
      <c r="H11">
        <v>53</v>
      </c>
      <c r="I11">
        <v>750</v>
      </c>
      <c r="J11">
        <v>50</v>
      </c>
      <c r="K11" s="17">
        <v>40</v>
      </c>
      <c r="L11">
        <v>75</v>
      </c>
      <c r="M11">
        <v>980</v>
      </c>
      <c r="N11" s="271">
        <v>50</v>
      </c>
      <c r="O11" s="271">
        <v>50</v>
      </c>
      <c r="P11">
        <v>22</v>
      </c>
      <c r="Q11">
        <v>22</v>
      </c>
      <c r="R11" s="58"/>
      <c r="S11" s="441">
        <f t="shared" si="23"/>
        <v>1815.63</v>
      </c>
      <c r="T11" s="441" t="e">
        <f t="shared" si="0"/>
        <v>#REF!</v>
      </c>
      <c r="U11" s="441" t="e">
        <f>MAX(U$5:U$6)+IF($B$2="mil",1,0.0254)*DDR2Specs!$B$3</f>
        <v>#REF!</v>
      </c>
      <c r="V11" s="441" t="e">
        <f>MIN(U$5:U$6)+IF($B$2="mil",1,0.0254)*DDR2Specs!$C$3</f>
        <v>#REF!</v>
      </c>
      <c r="W11" s="18"/>
      <c r="X11" s="534" t="e">
        <f t="shared" si="1"/>
        <v>#REF!</v>
      </c>
      <c r="Y11" s="447" t="e">
        <f t="shared" si="24"/>
        <v>#REF!</v>
      </c>
      <c r="Z11" s="18"/>
      <c r="AA11" s="441">
        <f t="shared" si="2"/>
        <v>3729.63</v>
      </c>
      <c r="AB11" s="441" t="e">
        <f t="shared" si="3"/>
        <v>#REF!</v>
      </c>
      <c r="AC11" s="441" t="e">
        <f>MAX(AC$5:AC$6)+IF($B$2="mil",1,0.0254)*DDR2Specs!$E$3</f>
        <v>#REF!</v>
      </c>
      <c r="AD11" s="441" t="e">
        <f>MIN(AC$5:AC$6)+IF($B$2="mil",1,0.0254)*DDR2Specs!$F$3</f>
        <v>#REF!</v>
      </c>
      <c r="AE11" s="18"/>
      <c r="AF11" s="534" t="e">
        <f t="shared" si="25"/>
        <v>#REF!</v>
      </c>
      <c r="AG11" s="447" t="e">
        <f t="shared" si="4"/>
        <v>#REF!</v>
      </c>
      <c r="AH11" s="18"/>
      <c r="AI11" s="441">
        <f t="shared" si="5"/>
        <v>3729.63</v>
      </c>
      <c r="AJ11" s="441" t="e">
        <f t="shared" si="6"/>
        <v>#REF!</v>
      </c>
      <c r="AK11" s="441" t="e">
        <f>MAX(AK$5:AK$6)+IF($B$2="mil",1,0.0254)*DDR2Specs!$E$3</f>
        <v>#REF!</v>
      </c>
      <c r="AL11" s="441" t="e">
        <f>MIN(AK$5:AK$6)+IF($B$2="mil",1,0.0254)*DDR2Specs!$F$3</f>
        <v>#REF!</v>
      </c>
      <c r="AM11" s="18"/>
      <c r="AN11" s="534" t="e">
        <f t="shared" si="7"/>
        <v>#REF!</v>
      </c>
      <c r="AO11" s="447" t="e">
        <f t="shared" si="8"/>
        <v>#REF!</v>
      </c>
      <c r="AP11" s="18"/>
      <c r="AQ11" s="447" t="e">
        <f t="shared" si="9"/>
        <v>#REF!</v>
      </c>
      <c r="AR11" s="447" t="e">
        <f t="shared" si="10"/>
        <v>#REF!</v>
      </c>
      <c r="AS11" s="447" t="e">
        <f t="shared" si="11"/>
        <v>#REF!</v>
      </c>
      <c r="AT11" s="447" t="e">
        <f t="shared" ca="1" si="12"/>
        <v>#NAME?</v>
      </c>
      <c r="AU11" s="447" t="e">
        <f t="shared" si="13"/>
        <v>#REF!</v>
      </c>
      <c r="AV11" s="447" t="e">
        <f t="shared" si="14"/>
        <v>#REF!</v>
      </c>
      <c r="AW11" s="447" t="e">
        <f t="shared" si="15"/>
        <v>#REF!</v>
      </c>
      <c r="AX11" s="447" t="e">
        <f t="shared" si="16"/>
        <v>#REF!</v>
      </c>
      <c r="AY11" s="447" t="e">
        <f t="shared" si="17"/>
        <v>#REF!</v>
      </c>
      <c r="AZ11" s="445" t="e">
        <f t="shared" si="18"/>
        <v>#REF!</v>
      </c>
      <c r="BA11" s="447" t="e">
        <f t="shared" ca="1" si="26"/>
        <v>#NAME?</v>
      </c>
      <c r="BB11" s="447" t="e">
        <f t="shared" ca="1" si="27"/>
        <v>#NAME?</v>
      </c>
      <c r="BC11" s="447" t="e">
        <f t="shared" si="19"/>
        <v>#REF!</v>
      </c>
      <c r="BD11" s="447" t="e">
        <f t="shared" si="28"/>
        <v>#REF!</v>
      </c>
      <c r="BE11" s="447" t="e">
        <f t="shared" si="20"/>
        <v>#REF!</v>
      </c>
      <c r="BF11" s="447" t="e">
        <f t="shared" si="21"/>
        <v>#REF!</v>
      </c>
      <c r="BG11" s="18"/>
      <c r="BH11" s="2" t="e">
        <f t="shared" ca="1" si="22"/>
        <v>#REF!</v>
      </c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</row>
    <row r="12" spans="1:76" x14ac:dyDescent="0.2">
      <c r="A12" s="560" t="s">
        <v>174</v>
      </c>
      <c r="B12" s="589" t="s">
        <v>547</v>
      </c>
      <c r="C12" s="584">
        <v>392.75590551181108</v>
      </c>
      <c r="D12" s="16"/>
      <c r="E12" s="17">
        <v>22.63</v>
      </c>
      <c r="F12" s="17">
        <v>0</v>
      </c>
      <c r="G12">
        <v>1740</v>
      </c>
      <c r="H12">
        <v>50</v>
      </c>
      <c r="I12">
        <v>750</v>
      </c>
      <c r="J12">
        <v>50</v>
      </c>
      <c r="K12" s="17">
        <v>40</v>
      </c>
      <c r="L12">
        <v>75</v>
      </c>
      <c r="M12">
        <v>970</v>
      </c>
      <c r="N12" s="271">
        <v>40</v>
      </c>
      <c r="O12" s="271">
        <v>40</v>
      </c>
      <c r="P12">
        <v>22</v>
      </c>
      <c r="Q12">
        <v>22</v>
      </c>
      <c r="R12" s="58"/>
      <c r="S12" s="441">
        <f t="shared" si="23"/>
        <v>1812.63</v>
      </c>
      <c r="T12" s="441" t="e">
        <f t="shared" si="0"/>
        <v>#REF!</v>
      </c>
      <c r="U12" s="441" t="e">
        <f>MAX(U$5:U$6)+IF($B$2="mil",1,0.0254)*DDR2Specs!$B$3</f>
        <v>#REF!</v>
      </c>
      <c r="V12" s="441" t="e">
        <f>MIN(U$5:U$6)+IF($B$2="mil",1,0.0254)*DDR2Specs!$C$3</f>
        <v>#REF!</v>
      </c>
      <c r="W12" s="18"/>
      <c r="X12" s="534" t="e">
        <f t="shared" si="1"/>
        <v>#REF!</v>
      </c>
      <c r="Y12" s="447" t="e">
        <f t="shared" si="24"/>
        <v>#REF!</v>
      </c>
      <c r="Z12" s="18"/>
      <c r="AA12" s="441">
        <f t="shared" si="2"/>
        <v>3709.63</v>
      </c>
      <c r="AB12" s="441" t="e">
        <f t="shared" si="3"/>
        <v>#REF!</v>
      </c>
      <c r="AC12" s="441" t="e">
        <f>MAX(AC$5:AC$6)+IF($B$2="mil",1,0.0254)*DDR2Specs!$E$3</f>
        <v>#REF!</v>
      </c>
      <c r="AD12" s="441" t="e">
        <f>MIN(AC$5:AC$6)+IF($B$2="mil",1,0.0254)*DDR2Specs!$F$3</f>
        <v>#REF!</v>
      </c>
      <c r="AE12" s="18"/>
      <c r="AF12" s="534" t="e">
        <f t="shared" si="25"/>
        <v>#REF!</v>
      </c>
      <c r="AG12" s="447" t="e">
        <f t="shared" si="4"/>
        <v>#REF!</v>
      </c>
      <c r="AH12" s="18"/>
      <c r="AI12" s="441">
        <f t="shared" si="5"/>
        <v>3709.63</v>
      </c>
      <c r="AJ12" s="441" t="e">
        <f t="shared" si="6"/>
        <v>#REF!</v>
      </c>
      <c r="AK12" s="441" t="e">
        <f>MAX(AK$5:AK$6)+IF($B$2="mil",1,0.0254)*DDR2Specs!$E$3</f>
        <v>#REF!</v>
      </c>
      <c r="AL12" s="441" t="e">
        <f>MIN(AK$5:AK$6)+IF($B$2="mil",1,0.0254)*DDR2Specs!$F$3</f>
        <v>#REF!</v>
      </c>
      <c r="AM12" s="18"/>
      <c r="AN12" s="534" t="e">
        <f t="shared" si="7"/>
        <v>#REF!</v>
      </c>
      <c r="AO12" s="447" t="e">
        <f t="shared" si="8"/>
        <v>#REF!</v>
      </c>
      <c r="AP12" s="18"/>
      <c r="AQ12" s="447" t="e">
        <f t="shared" si="9"/>
        <v>#REF!</v>
      </c>
      <c r="AR12" s="447" t="e">
        <f t="shared" si="10"/>
        <v>#REF!</v>
      </c>
      <c r="AS12" s="447" t="e">
        <f t="shared" si="11"/>
        <v>#REF!</v>
      </c>
      <c r="AT12" s="447" t="e">
        <f t="shared" ca="1" si="12"/>
        <v>#NAME?</v>
      </c>
      <c r="AU12" s="447" t="e">
        <f t="shared" si="13"/>
        <v>#REF!</v>
      </c>
      <c r="AV12" s="447" t="e">
        <f t="shared" si="14"/>
        <v>#REF!</v>
      </c>
      <c r="AW12" s="447" t="e">
        <f t="shared" si="15"/>
        <v>#REF!</v>
      </c>
      <c r="AX12" s="447" t="e">
        <f t="shared" si="16"/>
        <v>#REF!</v>
      </c>
      <c r="AY12" s="447" t="e">
        <f t="shared" si="17"/>
        <v>#REF!</v>
      </c>
      <c r="AZ12" s="445" t="e">
        <f t="shared" si="18"/>
        <v>#REF!</v>
      </c>
      <c r="BA12" s="447" t="e">
        <f t="shared" ca="1" si="26"/>
        <v>#NAME?</v>
      </c>
      <c r="BB12" s="447" t="e">
        <f t="shared" ca="1" si="27"/>
        <v>#NAME?</v>
      </c>
      <c r="BC12" s="447" t="e">
        <f t="shared" si="19"/>
        <v>#REF!</v>
      </c>
      <c r="BD12" s="447" t="e">
        <f t="shared" si="28"/>
        <v>#REF!</v>
      </c>
      <c r="BE12" s="447" t="e">
        <f t="shared" si="20"/>
        <v>#REF!</v>
      </c>
      <c r="BF12" s="447" t="e">
        <f t="shared" si="21"/>
        <v>#REF!</v>
      </c>
      <c r="BG12" s="18"/>
      <c r="BH12" s="2" t="e">
        <f t="shared" ca="1" si="22"/>
        <v>#REF!</v>
      </c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</row>
    <row r="13" spans="1:76" x14ac:dyDescent="0.2">
      <c r="A13" s="560" t="s">
        <v>175</v>
      </c>
      <c r="B13" s="589" t="s">
        <v>391</v>
      </c>
      <c r="C13" s="584">
        <v>348.07086614173227</v>
      </c>
      <c r="D13" s="16"/>
      <c r="E13" s="17">
        <v>22.63</v>
      </c>
      <c r="F13" s="17">
        <v>0</v>
      </c>
      <c r="G13">
        <v>1740</v>
      </c>
      <c r="H13">
        <v>80</v>
      </c>
      <c r="I13">
        <v>750</v>
      </c>
      <c r="J13">
        <v>50</v>
      </c>
      <c r="K13" s="17">
        <v>40</v>
      </c>
      <c r="L13">
        <v>75</v>
      </c>
      <c r="M13">
        <v>1000</v>
      </c>
      <c r="N13" s="271">
        <v>55</v>
      </c>
      <c r="O13" s="271">
        <v>50</v>
      </c>
      <c r="P13">
        <v>22</v>
      </c>
      <c r="Q13">
        <v>22</v>
      </c>
      <c r="R13" s="58"/>
      <c r="S13" s="441">
        <f t="shared" si="23"/>
        <v>1842.63</v>
      </c>
      <c r="T13" s="441" t="e">
        <f t="shared" si="0"/>
        <v>#REF!</v>
      </c>
      <c r="U13" s="441" t="e">
        <f>MAX(U$5:U$6)+IF($B$2="mil",1,0.0254)*DDR2Specs!$B$3</f>
        <v>#REF!</v>
      </c>
      <c r="V13" s="441" t="e">
        <f>MIN(U$5:U$6)+IF($B$2="mil",1,0.0254)*DDR2Specs!$C$3</f>
        <v>#REF!</v>
      </c>
      <c r="W13" s="18"/>
      <c r="X13" s="534" t="e">
        <f t="shared" si="1"/>
        <v>#REF!</v>
      </c>
      <c r="Y13" s="447" t="e">
        <f t="shared" si="24"/>
        <v>#REF!</v>
      </c>
      <c r="Z13" s="18"/>
      <c r="AA13" s="441">
        <f t="shared" si="2"/>
        <v>3754.63</v>
      </c>
      <c r="AB13" s="441" t="e">
        <f t="shared" si="3"/>
        <v>#REF!</v>
      </c>
      <c r="AC13" s="441" t="e">
        <f>MAX(AC$5:AC$6)+IF($B$2="mil",1,0.0254)*DDR2Specs!$E$3</f>
        <v>#REF!</v>
      </c>
      <c r="AD13" s="441" t="e">
        <f>MIN(AC$5:AC$6)+IF($B$2="mil",1,0.0254)*DDR2Specs!$F$3</f>
        <v>#REF!</v>
      </c>
      <c r="AE13" s="18"/>
      <c r="AF13" s="534" t="e">
        <f t="shared" si="25"/>
        <v>#REF!</v>
      </c>
      <c r="AG13" s="447" t="e">
        <f t="shared" si="4"/>
        <v>#REF!</v>
      </c>
      <c r="AH13" s="18"/>
      <c r="AI13" s="441">
        <f t="shared" si="5"/>
        <v>3749.63</v>
      </c>
      <c r="AJ13" s="441" t="e">
        <f t="shared" si="6"/>
        <v>#REF!</v>
      </c>
      <c r="AK13" s="441" t="e">
        <f>MAX(AK$5:AK$6)+IF($B$2="mil",1,0.0254)*DDR2Specs!$E$3</f>
        <v>#REF!</v>
      </c>
      <c r="AL13" s="441" t="e">
        <f>MIN(AK$5:AK$6)+IF($B$2="mil",1,0.0254)*DDR2Specs!$F$3</f>
        <v>#REF!</v>
      </c>
      <c r="AM13" s="18"/>
      <c r="AN13" s="534" t="e">
        <f t="shared" si="7"/>
        <v>#REF!</v>
      </c>
      <c r="AO13" s="447" t="e">
        <f t="shared" si="8"/>
        <v>#REF!</v>
      </c>
      <c r="AP13" s="18"/>
      <c r="AQ13" s="447" t="e">
        <f t="shared" si="9"/>
        <v>#REF!</v>
      </c>
      <c r="AR13" s="447" t="e">
        <f t="shared" si="10"/>
        <v>#REF!</v>
      </c>
      <c r="AS13" s="447" t="e">
        <f t="shared" si="11"/>
        <v>#REF!</v>
      </c>
      <c r="AT13" s="447" t="e">
        <f t="shared" ca="1" si="12"/>
        <v>#NAME?</v>
      </c>
      <c r="AU13" s="447" t="e">
        <f t="shared" si="13"/>
        <v>#REF!</v>
      </c>
      <c r="AV13" s="447" t="e">
        <f t="shared" si="14"/>
        <v>#REF!</v>
      </c>
      <c r="AW13" s="447" t="e">
        <f t="shared" si="15"/>
        <v>#REF!</v>
      </c>
      <c r="AX13" s="447" t="e">
        <f t="shared" si="16"/>
        <v>#REF!</v>
      </c>
      <c r="AY13" s="447" t="e">
        <f t="shared" si="17"/>
        <v>#REF!</v>
      </c>
      <c r="AZ13" s="445" t="e">
        <f t="shared" si="18"/>
        <v>#REF!</v>
      </c>
      <c r="BA13" s="447" t="e">
        <f t="shared" ca="1" si="26"/>
        <v>#NAME?</v>
      </c>
      <c r="BB13" s="447" t="e">
        <f t="shared" ca="1" si="27"/>
        <v>#NAME?</v>
      </c>
      <c r="BC13" s="447" t="e">
        <f t="shared" si="19"/>
        <v>#REF!</v>
      </c>
      <c r="BD13" s="447" t="e">
        <f t="shared" si="28"/>
        <v>#REF!</v>
      </c>
      <c r="BE13" s="447" t="e">
        <f t="shared" si="20"/>
        <v>#REF!</v>
      </c>
      <c r="BF13" s="447" t="e">
        <f t="shared" si="21"/>
        <v>#REF!</v>
      </c>
      <c r="BG13" s="18"/>
      <c r="BH13" s="2" t="e">
        <f t="shared" ca="1" si="22"/>
        <v>#REF!</v>
      </c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</row>
    <row r="14" spans="1:76" x14ac:dyDescent="0.2">
      <c r="A14" s="560" t="s">
        <v>176</v>
      </c>
      <c r="B14" s="589" t="s">
        <v>546</v>
      </c>
      <c r="C14" s="584">
        <v>531.10236220472439</v>
      </c>
      <c r="D14" s="16"/>
      <c r="E14" s="17">
        <v>22.63</v>
      </c>
      <c r="F14" s="17">
        <v>0</v>
      </c>
      <c r="G14">
        <v>1650</v>
      </c>
      <c r="H14">
        <v>0</v>
      </c>
      <c r="I14">
        <v>750</v>
      </c>
      <c r="J14">
        <v>50</v>
      </c>
      <c r="K14" s="17">
        <v>40</v>
      </c>
      <c r="L14">
        <v>75</v>
      </c>
      <c r="M14">
        <v>870</v>
      </c>
      <c r="N14" s="271">
        <v>92</v>
      </c>
      <c r="O14" s="271">
        <v>90</v>
      </c>
      <c r="P14">
        <v>22</v>
      </c>
      <c r="Q14">
        <v>22</v>
      </c>
      <c r="R14" s="58"/>
      <c r="S14" s="441">
        <f t="shared" si="23"/>
        <v>1672.63</v>
      </c>
      <c r="T14" s="441" t="e">
        <f t="shared" si="0"/>
        <v>#REF!</v>
      </c>
      <c r="U14" s="441" t="e">
        <f>MAX(U$5:U$6)+IF($B$2="mil",1,0.0254)*DDR2Specs!$B$3</f>
        <v>#REF!</v>
      </c>
      <c r="V14" s="441" t="e">
        <f>MIN(U$5:U$6)+IF($B$2="mil",1,0.0254)*DDR2Specs!$C$3</f>
        <v>#REF!</v>
      </c>
      <c r="W14" s="18"/>
      <c r="X14" s="534" t="e">
        <f t="shared" si="1"/>
        <v>#REF!</v>
      </c>
      <c r="Y14" s="447" t="e">
        <f t="shared" si="24"/>
        <v>#REF!</v>
      </c>
      <c r="Z14" s="18"/>
      <c r="AA14" s="441">
        <f t="shared" si="2"/>
        <v>3571.63</v>
      </c>
      <c r="AB14" s="441" t="e">
        <f t="shared" si="3"/>
        <v>#REF!</v>
      </c>
      <c r="AC14" s="441" t="e">
        <f>MAX(AC$5:AC$6)+IF($B$2="mil",1,0.0254)*DDR2Specs!$E$3</f>
        <v>#REF!</v>
      </c>
      <c r="AD14" s="441" t="e">
        <f>MIN(AC$5:AC$6)+IF($B$2="mil",1,0.0254)*DDR2Specs!$F$3</f>
        <v>#REF!</v>
      </c>
      <c r="AE14" s="18"/>
      <c r="AF14" s="534" t="e">
        <f t="shared" si="25"/>
        <v>#REF!</v>
      </c>
      <c r="AG14" s="447" t="e">
        <f t="shared" si="4"/>
        <v>#REF!</v>
      </c>
      <c r="AH14" s="18"/>
      <c r="AI14" s="441">
        <f t="shared" si="5"/>
        <v>3569.63</v>
      </c>
      <c r="AJ14" s="441" t="e">
        <f t="shared" si="6"/>
        <v>#REF!</v>
      </c>
      <c r="AK14" s="441" t="e">
        <f>MAX(AK$5:AK$6)+IF($B$2="mil",1,0.0254)*DDR2Specs!$E$3</f>
        <v>#REF!</v>
      </c>
      <c r="AL14" s="441" t="e">
        <f>MIN(AK$5:AK$6)+IF($B$2="mil",1,0.0254)*DDR2Specs!$F$3</f>
        <v>#REF!</v>
      </c>
      <c r="AM14" s="18"/>
      <c r="AN14" s="534" t="e">
        <f t="shared" si="7"/>
        <v>#REF!</v>
      </c>
      <c r="AO14" s="447" t="e">
        <f t="shared" si="8"/>
        <v>#REF!</v>
      </c>
      <c r="AP14" s="18"/>
      <c r="AQ14" s="447" t="e">
        <f t="shared" si="9"/>
        <v>#REF!</v>
      </c>
      <c r="AR14" s="447" t="e">
        <f t="shared" si="10"/>
        <v>#REF!</v>
      </c>
      <c r="AS14" s="447" t="e">
        <f t="shared" si="11"/>
        <v>#REF!</v>
      </c>
      <c r="AT14" s="447" t="e">
        <f t="shared" ca="1" si="12"/>
        <v>#NAME?</v>
      </c>
      <c r="AU14" s="447" t="e">
        <f t="shared" si="13"/>
        <v>#REF!</v>
      </c>
      <c r="AV14" s="447" t="e">
        <f t="shared" si="14"/>
        <v>#REF!</v>
      </c>
      <c r="AW14" s="447" t="e">
        <f t="shared" si="15"/>
        <v>#REF!</v>
      </c>
      <c r="AX14" s="447" t="e">
        <f t="shared" si="16"/>
        <v>#REF!</v>
      </c>
      <c r="AY14" s="447" t="e">
        <f t="shared" si="17"/>
        <v>#REF!</v>
      </c>
      <c r="AZ14" s="445" t="e">
        <f t="shared" si="18"/>
        <v>#REF!</v>
      </c>
      <c r="BA14" s="447" t="e">
        <f t="shared" ca="1" si="26"/>
        <v>#NAME?</v>
      </c>
      <c r="BB14" s="447" t="e">
        <f t="shared" ca="1" si="27"/>
        <v>#NAME?</v>
      </c>
      <c r="BC14" s="447" t="e">
        <f t="shared" si="19"/>
        <v>#REF!</v>
      </c>
      <c r="BD14" s="447" t="e">
        <f t="shared" si="28"/>
        <v>#REF!</v>
      </c>
      <c r="BE14" s="447" t="e">
        <f t="shared" si="20"/>
        <v>#REF!</v>
      </c>
      <c r="BF14" s="447" t="e">
        <f t="shared" si="21"/>
        <v>#REF!</v>
      </c>
      <c r="BG14" s="18"/>
      <c r="BH14" s="2" t="e">
        <f t="shared" ca="1" si="22"/>
        <v>#REF!</v>
      </c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</row>
    <row r="15" spans="1:76" x14ac:dyDescent="0.2">
      <c r="A15" s="560" t="s">
        <v>177</v>
      </c>
      <c r="B15" s="590" t="s">
        <v>553</v>
      </c>
      <c r="C15" s="584">
        <v>364.88188976377955</v>
      </c>
      <c r="D15" s="16"/>
      <c r="E15" s="17">
        <v>22.63</v>
      </c>
      <c r="F15" s="17">
        <v>0</v>
      </c>
      <c r="G15">
        <v>1740</v>
      </c>
      <c r="H15">
        <v>60</v>
      </c>
      <c r="I15">
        <v>750</v>
      </c>
      <c r="J15">
        <v>50</v>
      </c>
      <c r="K15" s="17">
        <v>40</v>
      </c>
      <c r="L15">
        <v>75</v>
      </c>
      <c r="M15">
        <v>990</v>
      </c>
      <c r="N15" s="271">
        <v>40</v>
      </c>
      <c r="O15" s="271">
        <v>50</v>
      </c>
      <c r="P15">
        <v>22</v>
      </c>
      <c r="Q15">
        <v>22</v>
      </c>
      <c r="R15" s="58"/>
      <c r="S15" s="441">
        <f t="shared" si="23"/>
        <v>1822.63</v>
      </c>
      <c r="T15" s="441" t="e">
        <f t="shared" si="0"/>
        <v>#REF!</v>
      </c>
      <c r="U15" s="441" t="e">
        <f>MAX(U$5:U$6)+IF($B$2="mil",1,0.0254)*DDR2Specs!$B$3</f>
        <v>#REF!</v>
      </c>
      <c r="V15" s="441" t="e">
        <f>MIN(U$5:U$6)+IF($B$2="mil",1,0.0254)*DDR2Specs!$C$3</f>
        <v>#REF!</v>
      </c>
      <c r="W15" s="18"/>
      <c r="X15" s="534" t="e">
        <f t="shared" si="1"/>
        <v>#REF!</v>
      </c>
      <c r="Y15" s="447" t="e">
        <f t="shared" si="24"/>
        <v>#REF!</v>
      </c>
      <c r="Z15" s="18"/>
      <c r="AA15" s="441">
        <f t="shared" si="2"/>
        <v>3729.63</v>
      </c>
      <c r="AB15" s="441" t="e">
        <f t="shared" si="3"/>
        <v>#REF!</v>
      </c>
      <c r="AC15" s="441" t="e">
        <f>MAX(AC$5:AC$6)+IF($B$2="mil",1,0.0254)*DDR2Specs!$E$3</f>
        <v>#REF!</v>
      </c>
      <c r="AD15" s="441" t="e">
        <f>MIN(AC$5:AC$6)+IF($B$2="mil",1,0.0254)*DDR2Specs!$F$3</f>
        <v>#REF!</v>
      </c>
      <c r="AE15" s="18"/>
      <c r="AF15" s="534" t="e">
        <f t="shared" si="25"/>
        <v>#REF!</v>
      </c>
      <c r="AG15" s="447" t="e">
        <f t="shared" si="4"/>
        <v>#REF!</v>
      </c>
      <c r="AH15" s="18"/>
      <c r="AI15" s="441">
        <f t="shared" si="5"/>
        <v>3739.63</v>
      </c>
      <c r="AJ15" s="441" t="e">
        <f t="shared" si="6"/>
        <v>#REF!</v>
      </c>
      <c r="AK15" s="441" t="e">
        <f>MAX(AK$5:AK$6)+IF($B$2="mil",1,0.0254)*DDR2Specs!$E$3</f>
        <v>#REF!</v>
      </c>
      <c r="AL15" s="441" t="e">
        <f>MIN(AK$5:AK$6)+IF($B$2="mil",1,0.0254)*DDR2Specs!$F$3</f>
        <v>#REF!</v>
      </c>
      <c r="AM15" s="18"/>
      <c r="AN15" s="534" t="e">
        <f t="shared" si="7"/>
        <v>#REF!</v>
      </c>
      <c r="AO15" s="447" t="e">
        <f t="shared" si="8"/>
        <v>#REF!</v>
      </c>
      <c r="AP15" s="18"/>
      <c r="AQ15" s="447" t="e">
        <f t="shared" si="9"/>
        <v>#REF!</v>
      </c>
      <c r="AR15" s="447" t="e">
        <f t="shared" si="10"/>
        <v>#REF!</v>
      </c>
      <c r="AS15" s="447" t="e">
        <f t="shared" si="11"/>
        <v>#REF!</v>
      </c>
      <c r="AT15" s="447" t="e">
        <f t="shared" ca="1" si="12"/>
        <v>#NAME?</v>
      </c>
      <c r="AU15" s="447" t="e">
        <f t="shared" si="13"/>
        <v>#REF!</v>
      </c>
      <c r="AV15" s="447" t="e">
        <f t="shared" si="14"/>
        <v>#REF!</v>
      </c>
      <c r="AW15" s="447" t="e">
        <f t="shared" si="15"/>
        <v>#REF!</v>
      </c>
      <c r="AX15" s="447" t="e">
        <f t="shared" si="16"/>
        <v>#REF!</v>
      </c>
      <c r="AY15" s="447" t="e">
        <f t="shared" si="17"/>
        <v>#REF!</v>
      </c>
      <c r="AZ15" s="445" t="e">
        <f t="shared" si="18"/>
        <v>#REF!</v>
      </c>
      <c r="BA15" s="447" t="e">
        <f t="shared" ca="1" si="26"/>
        <v>#NAME?</v>
      </c>
      <c r="BB15" s="447" t="e">
        <f t="shared" ca="1" si="27"/>
        <v>#NAME?</v>
      </c>
      <c r="BC15" s="447" t="e">
        <f t="shared" si="19"/>
        <v>#REF!</v>
      </c>
      <c r="BD15" s="447" t="e">
        <f t="shared" si="28"/>
        <v>#REF!</v>
      </c>
      <c r="BE15" s="447" t="e">
        <f t="shared" si="20"/>
        <v>#REF!</v>
      </c>
      <c r="BF15" s="447" t="e">
        <f t="shared" si="21"/>
        <v>#REF!</v>
      </c>
      <c r="BG15" s="18"/>
      <c r="BH15" s="2" t="e">
        <f t="shared" ca="1" si="22"/>
        <v>#REF!</v>
      </c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</row>
    <row r="16" spans="1:76" x14ac:dyDescent="0.2">
      <c r="A16" s="563" t="s">
        <v>246</v>
      </c>
      <c r="B16" s="591"/>
      <c r="C16" s="585"/>
      <c r="D16" s="51"/>
      <c r="E16" s="68" t="s">
        <v>69</v>
      </c>
      <c r="F16" s="68"/>
      <c r="G16" s="394"/>
      <c r="H16" s="265"/>
      <c r="I16" s="265"/>
      <c r="J16" s="265"/>
      <c r="K16" s="265"/>
      <c r="L16" s="265"/>
      <c r="M16" s="265"/>
      <c r="N16" s="265"/>
      <c r="O16" s="265"/>
      <c r="P16" s="265"/>
      <c r="Q16" s="265"/>
      <c r="R16" s="8"/>
      <c r="S16" s="68"/>
      <c r="T16" s="539"/>
      <c r="U16" s="539"/>
      <c r="V16" s="540"/>
      <c r="W16" s="540"/>
      <c r="X16" s="541"/>
      <c r="Y16" s="15"/>
      <c r="Z16" s="540"/>
      <c r="AA16" s="68"/>
      <c r="AB16" s="539"/>
      <c r="AC16" s="539"/>
      <c r="AD16" s="540"/>
      <c r="AE16" s="540"/>
      <c r="AF16" s="541"/>
      <c r="AG16" s="15"/>
      <c r="AH16" s="540"/>
      <c r="AI16" s="68"/>
      <c r="AJ16" s="539"/>
      <c r="AK16" s="539"/>
      <c r="AL16" s="540"/>
      <c r="AM16" s="540"/>
      <c r="AN16" s="541"/>
      <c r="AO16" s="15"/>
      <c r="AP16" s="540"/>
      <c r="AQ16" s="15"/>
      <c r="AR16" s="15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69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</row>
    <row r="17" spans="1:76" x14ac:dyDescent="0.2">
      <c r="A17" s="576" t="str">
        <f>'DDR2 Strobes - 2x16_1R SODIMM'!$A$12</f>
        <v>SA_DQS1</v>
      </c>
      <c r="B17" s="592" t="str">
        <f>'DDR2 Strobes - 2x16_1R SODIMM'!$B$12</f>
        <v>Y24</v>
      </c>
      <c r="C17" s="586"/>
      <c r="D17" s="44"/>
      <c r="E17" s="67"/>
      <c r="F17" s="67"/>
      <c r="G17" s="602"/>
      <c r="H17" s="603"/>
      <c r="I17" s="603"/>
      <c r="J17" s="603"/>
      <c r="K17" s="603"/>
      <c r="L17" s="603"/>
      <c r="M17" s="603"/>
      <c r="N17" s="603"/>
      <c r="O17" s="603"/>
      <c r="P17" s="603"/>
      <c r="Q17" s="603"/>
      <c r="R17" s="67"/>
      <c r="S17" s="67"/>
      <c r="T17" s="48"/>
      <c r="U17" s="48" t="e">
        <f>'DDR2 Strobes - 2x16_1R SODIMM'!$U$12</f>
        <v>#REF!</v>
      </c>
      <c r="V17" s="48"/>
      <c r="W17" s="48"/>
      <c r="X17" s="48"/>
      <c r="Y17" s="542"/>
      <c r="Z17" s="48"/>
      <c r="AA17" s="67"/>
      <c r="AB17" s="48"/>
      <c r="AC17" s="48" t="e">
        <f>'DDR2 Strobes - 2x16_1R SODIMM'!$AD$12</f>
        <v>#REF!</v>
      </c>
      <c r="AD17" s="48"/>
      <c r="AE17" s="48"/>
      <c r="AF17" s="48"/>
      <c r="AG17" s="542"/>
      <c r="AH17" s="48"/>
      <c r="AI17" s="67"/>
      <c r="AJ17" s="48"/>
      <c r="AK17" s="48" t="e">
        <f>'DDR2 Strobes - 2x16_1R SODIMM'!$AL$12</f>
        <v>#REF!</v>
      </c>
      <c r="AL17" s="48"/>
      <c r="AM17" s="48"/>
      <c r="AN17" s="48"/>
      <c r="AO17" s="542"/>
      <c r="AP17" s="48"/>
      <c r="AQ17" s="542"/>
      <c r="AR17" s="542"/>
      <c r="AS17" s="542"/>
      <c r="AT17" s="542"/>
      <c r="AU17" s="542"/>
      <c r="AV17" s="542"/>
      <c r="AW17" s="542"/>
      <c r="AX17" s="542"/>
      <c r="AY17" s="542"/>
      <c r="AZ17" s="542"/>
      <c r="BA17" s="542"/>
      <c r="BB17" s="542"/>
      <c r="BC17" s="542"/>
      <c r="BD17" s="542"/>
      <c r="BE17" s="542"/>
      <c r="BF17" s="542"/>
      <c r="BG17" s="48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</row>
    <row r="18" spans="1:76" x14ac:dyDescent="0.2">
      <c r="A18" s="576" t="str">
        <f>'DDR2 Strobes - 2x16_1R SODIMM'!$A$13</f>
        <v>SA_DQS1#</v>
      </c>
      <c r="B18" s="592" t="str">
        <f>'DDR2 Strobes - 2x16_1R SODIMM'!$B$13</f>
        <v>AA24</v>
      </c>
      <c r="C18" s="586"/>
      <c r="D18" s="44"/>
      <c r="E18" s="67"/>
      <c r="F18" s="67"/>
      <c r="G18" s="602"/>
      <c r="H18" s="603"/>
      <c r="I18" s="603"/>
      <c r="J18" s="603"/>
      <c r="K18" s="603"/>
      <c r="L18" s="603"/>
      <c r="M18" s="603"/>
      <c r="N18" s="603"/>
      <c r="O18" s="603"/>
      <c r="P18" s="603"/>
      <c r="Q18" s="603"/>
      <c r="R18" s="67"/>
      <c r="S18" s="67"/>
      <c r="T18" s="537"/>
      <c r="U18" s="48" t="e">
        <f>'DDR2 Strobes - 2x16_1R SODIMM'!$U$13</f>
        <v>#REF!</v>
      </c>
      <c r="V18" s="48"/>
      <c r="W18" s="48"/>
      <c r="X18" s="48"/>
      <c r="Y18" s="542"/>
      <c r="Z18" s="48"/>
      <c r="AA18" s="536"/>
      <c r="AB18" s="537"/>
      <c r="AC18" s="48" t="e">
        <f>'DDR2 Strobes - 2x16_1R SODIMM'!$AD$13</f>
        <v>#REF!</v>
      </c>
      <c r="AD18" s="48"/>
      <c r="AE18" s="48"/>
      <c r="AF18" s="48"/>
      <c r="AG18" s="542"/>
      <c r="AH18" s="48"/>
      <c r="AI18" s="536"/>
      <c r="AJ18" s="537"/>
      <c r="AK18" s="48" t="e">
        <f>'DDR2 Strobes - 2x16_1R SODIMM'!$AL$13</f>
        <v>#REF!</v>
      </c>
      <c r="AL18" s="48"/>
      <c r="AM18" s="48"/>
      <c r="AN18" s="48"/>
      <c r="AO18" s="542"/>
      <c r="AP18" s="48"/>
      <c r="AQ18" s="542"/>
      <c r="AR18" s="542"/>
      <c r="AS18" s="543"/>
      <c r="AT18" s="543"/>
      <c r="AU18" s="543"/>
      <c r="AV18" s="543"/>
      <c r="AW18" s="543"/>
      <c r="AX18" s="543"/>
      <c r="AY18" s="543"/>
      <c r="AZ18" s="543"/>
      <c r="BA18" s="543"/>
      <c r="BB18" s="543"/>
      <c r="BC18" s="543"/>
      <c r="BD18" s="543"/>
      <c r="BE18" s="543"/>
      <c r="BF18" s="543"/>
      <c r="BG18" s="48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</row>
    <row r="19" spans="1:76" x14ac:dyDescent="0.2">
      <c r="A19" s="560" t="s">
        <v>178</v>
      </c>
      <c r="B19" s="589" t="s">
        <v>544</v>
      </c>
      <c r="C19" s="584">
        <v>612.67716535433067</v>
      </c>
      <c r="D19" s="16"/>
      <c r="E19" s="17">
        <v>22.63</v>
      </c>
      <c r="F19" s="17">
        <v>0</v>
      </c>
      <c r="G19">
        <v>1400</v>
      </c>
      <c r="H19">
        <v>60</v>
      </c>
      <c r="I19">
        <v>724.35</v>
      </c>
      <c r="J19">
        <v>81.64</v>
      </c>
      <c r="K19" s="17">
        <v>40</v>
      </c>
      <c r="L19">
        <v>31.64</v>
      </c>
      <c r="M19">
        <v>1026.43</v>
      </c>
      <c r="N19" s="271">
        <v>0</v>
      </c>
      <c r="O19" s="271">
        <v>0</v>
      </c>
      <c r="P19">
        <v>101.8</v>
      </c>
      <c r="Q19">
        <v>101.77</v>
      </c>
      <c r="R19" s="58"/>
      <c r="S19" s="441">
        <f t="shared" ref="S19:S27" si="29" xml:space="preserve"> E19+F19+G19+H19</f>
        <v>1482.63</v>
      </c>
      <c r="T19" s="441" t="e">
        <f t="shared" ref="T19:T27" si="30">S19+IF($B$2="mil",1,0.0254)*C19</f>
        <v>#REF!</v>
      </c>
      <c r="U19" s="441" t="e">
        <f>MAX(U$17:U$18)+IF($B$2="mil",1,0.0254)*DDR2Specs!$B$3</f>
        <v>#REF!</v>
      </c>
      <c r="V19" s="441" t="e">
        <f>MIN(U$17:U$18)+IF($B$2="mil",1,0.0254)*DDR2Specs!$C$3</f>
        <v>#REF!</v>
      </c>
      <c r="W19" s="18"/>
      <c r="X19" s="534" t="e">
        <f t="shared" ref="X19:X27" si="31">IF($T19&lt;$U19,$U19-$T19,"Pass")</f>
        <v>#REF!</v>
      </c>
      <c r="Y19" s="447" t="e">
        <f t="shared" ref="Y19:Y27" si="32">IF($T19&gt;$V19,$T19-$V19,"Pass")</f>
        <v>#REF!</v>
      </c>
      <c r="Z19" s="18"/>
      <c r="AA19" s="441">
        <f t="shared" ref="AA19:AA27" si="33">SUM(E19:G19,I19:N19,P19)</f>
        <v>3428.49</v>
      </c>
      <c r="AB19" s="441" t="e">
        <f t="shared" ref="AB19:AB27" si="34">AA19+IF($B$2="mil",1,0.0254)*$C19</f>
        <v>#REF!</v>
      </c>
      <c r="AC19" s="441" t="e">
        <f>MAX(AC$17:AC$18)+IF($B$2="mil",1,0.0254)*DDR2Specs!$E$3</f>
        <v>#REF!</v>
      </c>
      <c r="AD19" s="441" t="e">
        <f>MIN(AC$17:AC$18)+IF($B$2="mil",1,0.0254)*DDR2Specs!$F$3</f>
        <v>#REF!</v>
      </c>
      <c r="AE19" s="18"/>
      <c r="AF19" s="534" t="e">
        <f t="shared" ref="AF19:AF27" si="35">IF($AB19&lt;$AC19,$AC19-$AB19,"Pass")</f>
        <v>#REF!</v>
      </c>
      <c r="AG19" s="447" t="e">
        <f t="shared" ref="AG19:AG27" si="36">IF($AB19&gt;$AD19,$AB19-$AD19,"Pass")</f>
        <v>#REF!</v>
      </c>
      <c r="AH19" s="18"/>
      <c r="AI19" s="441">
        <f t="shared" ref="AI19:AI27" si="37">SUM(E19:G19,I19:M19,O19,Q19)</f>
        <v>3428.4599999999996</v>
      </c>
      <c r="AJ19" s="441" t="e">
        <f t="shared" ref="AJ19:AJ27" si="38">AI19+IF($B$2="mil",1,0.0254)*$C19</f>
        <v>#REF!</v>
      </c>
      <c r="AK19" s="441" t="e">
        <f>MAX(AK$17:AK$18)+IF($B$2="mil",1,0.0254)*DDR2Specs!$E$3</f>
        <v>#REF!</v>
      </c>
      <c r="AL19" s="441" t="e">
        <f>MIN(AK$17:AK$18)+IF($B$2="mil",1,0.0254)*DDR2Specs!$F$3</f>
        <v>#REF!</v>
      </c>
      <c r="AM19" s="18"/>
      <c r="AN19" s="534" t="e">
        <f t="shared" ref="AN19:AN27" si="39">IF($AJ19&lt;$AK19,$AK19-$AJ19,"Pass")</f>
        <v>#REF!</v>
      </c>
      <c r="AO19" s="447" t="e">
        <f t="shared" ref="AO19:AO27" si="40">IF($AJ19&gt;$AL19,$AJ19-$AL19,"Pass")</f>
        <v>#REF!</v>
      </c>
      <c r="AP19" s="18"/>
      <c r="AQ19" s="447" t="e">
        <f t="shared" ref="AQ19:AQ27" si="41">IF($E19&lt;=IF($B$2="mil",1,0.0254)*50,"Pass",IF($B$2="mil",1,0.0254)*50-$E19)</f>
        <v>#REF!</v>
      </c>
      <c r="AR19" s="447" t="e">
        <f t="shared" ref="AR19:AR27" si="42">IF($F19&lt;=IF($B$2="mil",1,0.0254)*500,"Pass",IF($B$2="mil",1,0.0254)*500-$F19)</f>
        <v>#REF!</v>
      </c>
      <c r="AS19" s="447" t="e">
        <f t="shared" ref="AS19:AS27" si="43">IF($H19&lt;=IF($B$2="mil",1,0.0254)*250,"Pass",IF($B$2="mil",1,0.0254)*250-$H19)</f>
        <v>#REF!</v>
      </c>
      <c r="AT19" s="447" t="e">
        <f t="shared" ref="AT19:AT27" ca="1" si="44">CheckLength(IF($B$2="mil",1,0.0254)*750, IF($B$2="mil",1,0.0254)*125-J19, 0, I19,J19,0)</f>
        <v>#NAME?</v>
      </c>
      <c r="AU19" s="447" t="e">
        <f t="shared" ref="AU19:AU27" si="45">IF($J19&lt;=IF($B$2="mil",1,0.0254)*125,"Pass",IF($B$2="mil",1,0.0254)*125-$J19)</f>
        <v>#REF!</v>
      </c>
      <c r="AV19" s="447" t="e">
        <f t="shared" ref="AV19:AV27" si="46">IF($L19&lt;=IF($B$2="mil",1,0.0254)*125,"Pass",IF($B$2="mil",1,0.0254)*125-$L19)</f>
        <v>#REF!</v>
      </c>
      <c r="AW19" s="447" t="e">
        <f t="shared" ref="AW19:AW27" si="47">IF(($L19+$M19)&lt;=IF($B$2="mil",1,0.0254)*1275,"Pass",IF($B$2="mil",1,0.0254)*1275-($L19+H19))</f>
        <v>#REF!</v>
      </c>
      <c r="AX19" s="447" t="e">
        <f t="shared" ref="AX19:AX27" si="48">IF($N19&lt;=IF($B$2="mil",1,0.0254)*150,"Pass",IF($B$2="mil",1,0.0254)*150-$N19)</f>
        <v>#REF!</v>
      </c>
      <c r="AY19" s="447" t="e">
        <f t="shared" ref="AY19:AY27" si="49">IF($O19&lt;=IF($B$2="mil",1,0.0254)*150,"Pass",IF($B$2="mil",1,0.0254)*150-$O19)</f>
        <v>#REF!</v>
      </c>
      <c r="AZ19" s="445" t="e">
        <f t="shared" ref="AZ19:AZ27" si="50">IF(MAX(N19:O19)-MIN(N19:O19)&lt;=IF($B$2="mil",1,0.0254)*50,"Pass",MAX(N19:O19)-MIN(N19:O19)-IF($B$2="mil",1,0.0254)*50)</f>
        <v>#REF!</v>
      </c>
      <c r="BA19" s="447" t="e">
        <f t="shared" ref="BA19:BA27" ca="1" si="51">CheckLength2(IF($B$2="mil",1,0.0254)*200,$P19,N19,0)</f>
        <v>#NAME?</v>
      </c>
      <c r="BB19" s="447" t="e">
        <f t="shared" ref="BB19:BB27" ca="1" si="52">CheckLength2(IF($B$2="mil",1,0.0254)*200,$Q19,O19,0)</f>
        <v>#NAME?</v>
      </c>
      <c r="BC19" s="447" t="e">
        <f t="shared" ref="BC19:BC27" si="53">IF(AND($S19&gt;=IF($B$2="mil",1,0.0254)*500, $S19&lt;=IF($B$2="mil",1,0.0254)*4000),"Pass",IF($B$2="mil",1,0.0254)*4000-$S19)</f>
        <v>#REF!</v>
      </c>
      <c r="BD19" s="447" t="e">
        <f t="shared" ref="BD19:BD27" si="54">IF(AND($T19&gt;=IF($B$2="mil",1,0.0254)*500, $T19&lt;=IF($B$2="mil",1,0.0254)*4500),"Pass",IF($B$2="mil",1,0.0254)*4500-$T19)</f>
        <v>#REF!</v>
      </c>
      <c r="BE19" s="447" t="e">
        <f t="shared" ref="BE19:BE27" si="55">IF(AND($AA19&gt;=IF($B$2="mil",1,0.0254)*500, $AA19&lt;=IF($B$2="mil",1,0.0254)*5500),"Pass",IF($B$2="mil",1,0.0254)*5500-$AA19)</f>
        <v>#REF!</v>
      </c>
      <c r="BF19" s="447" t="e">
        <f t="shared" ref="BF19:BF27" si="56">IF(AND($AB19&gt;=IF($B$2="mil",1,0.0254)*500, $AB19&lt;=IF($B$2="mil",1,0.0254)*6000),"Pass",IF($B$2="mil",1,0.0254)*6000-$AB19)</f>
        <v>#REF!</v>
      </c>
      <c r="BG19" s="18"/>
      <c r="BH19" s="2" t="e">
        <f t="shared" ref="BH19:BH27" ca="1" si="57">IF(AND(AN19="Pass",AO19="Pass",AQ19="Pass",BD19="Pass",AS19="Pass",AR19="Pass",BC19="Pass",X19="Pass",Y19="Pass",BB19="Pass",AW19="Pass",AX19="Pass",AY19="Pass",AZ19="Pass",BA19="Pass",AV19="Pass",AU19="Pass",AT19="Pass",AF19="Pass",AG19="Pass",BE19="Pass",BF19="Pass"),"Pass","Fail")</f>
        <v>#REF!</v>
      </c>
      <c r="BI19" s="2" t="e">
        <f ca="1">IF(AND(BH19="Pass",BH20="Pass",BH21="Pass",BH22="Pass",BH23="Pass",BH24="Pass",BH25="Pass",BH26="Pass",BH27="Pass"),"Pass","Fail")</f>
        <v>#REF!</v>
      </c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</row>
    <row r="20" spans="1:76" x14ac:dyDescent="0.2">
      <c r="A20" s="560" t="s">
        <v>179</v>
      </c>
      <c r="B20" s="589" t="s">
        <v>545</v>
      </c>
      <c r="C20" s="584">
        <v>627.75590551181108</v>
      </c>
      <c r="D20" s="16"/>
      <c r="E20" s="17">
        <v>22.63</v>
      </c>
      <c r="F20" s="17">
        <v>0</v>
      </c>
      <c r="G20">
        <v>1400</v>
      </c>
      <c r="H20">
        <v>50</v>
      </c>
      <c r="I20">
        <v>817.84</v>
      </c>
      <c r="J20">
        <v>44.57</v>
      </c>
      <c r="K20" s="17">
        <v>40</v>
      </c>
      <c r="L20">
        <v>90.75</v>
      </c>
      <c r="M20">
        <v>900.65</v>
      </c>
      <c r="N20" s="271">
        <v>0</v>
      </c>
      <c r="O20" s="271">
        <v>0</v>
      </c>
      <c r="P20">
        <v>105.05</v>
      </c>
      <c r="Q20">
        <v>105.02</v>
      </c>
      <c r="R20" s="58"/>
      <c r="S20" s="441">
        <f t="shared" si="29"/>
        <v>1472.63</v>
      </c>
      <c r="T20" s="441" t="e">
        <f t="shared" si="30"/>
        <v>#REF!</v>
      </c>
      <c r="U20" s="441" t="e">
        <f>MAX(U$17:U$18)+IF($B$2="mil",1,0.0254)*DDR2Specs!$B$3</f>
        <v>#REF!</v>
      </c>
      <c r="V20" s="441" t="e">
        <f>MIN(U$17:U$18)+IF($B$2="mil",1,0.0254)*DDR2Specs!$C$3</f>
        <v>#REF!</v>
      </c>
      <c r="W20" s="18"/>
      <c r="X20" s="534" t="e">
        <f t="shared" si="31"/>
        <v>#REF!</v>
      </c>
      <c r="Y20" s="447" t="e">
        <f t="shared" si="32"/>
        <v>#REF!</v>
      </c>
      <c r="Z20" s="18"/>
      <c r="AA20" s="441">
        <f t="shared" si="33"/>
        <v>3421.4900000000007</v>
      </c>
      <c r="AB20" s="441" t="e">
        <f t="shared" si="34"/>
        <v>#REF!</v>
      </c>
      <c r="AC20" s="441" t="e">
        <f>MAX(AC$17:AC$18)+IF($B$2="mil",1,0.0254)*DDR2Specs!$E$3</f>
        <v>#REF!</v>
      </c>
      <c r="AD20" s="441" t="e">
        <f>MIN(AC$17:AC$18)+IF($B$2="mil",1,0.0254)*DDR2Specs!$F$3</f>
        <v>#REF!</v>
      </c>
      <c r="AE20" s="18"/>
      <c r="AF20" s="534" t="e">
        <f t="shared" si="35"/>
        <v>#REF!</v>
      </c>
      <c r="AG20" s="447" t="e">
        <f t="shared" si="36"/>
        <v>#REF!</v>
      </c>
      <c r="AH20" s="18"/>
      <c r="AI20" s="441">
        <f t="shared" si="37"/>
        <v>3421.4600000000005</v>
      </c>
      <c r="AJ20" s="441" t="e">
        <f t="shared" si="38"/>
        <v>#REF!</v>
      </c>
      <c r="AK20" s="441" t="e">
        <f>MAX(AK$17:AK$18)+IF($B$2="mil",1,0.0254)*DDR2Specs!$E$3</f>
        <v>#REF!</v>
      </c>
      <c r="AL20" s="441" t="e">
        <f>MIN(AK$17:AK$18)+IF($B$2="mil",1,0.0254)*DDR2Specs!$F$3</f>
        <v>#REF!</v>
      </c>
      <c r="AM20" s="18"/>
      <c r="AN20" s="534" t="e">
        <f t="shared" si="39"/>
        <v>#REF!</v>
      </c>
      <c r="AO20" s="447" t="e">
        <f t="shared" si="40"/>
        <v>#REF!</v>
      </c>
      <c r="AP20" s="18"/>
      <c r="AQ20" s="447" t="e">
        <f t="shared" si="41"/>
        <v>#REF!</v>
      </c>
      <c r="AR20" s="447" t="e">
        <f t="shared" si="42"/>
        <v>#REF!</v>
      </c>
      <c r="AS20" s="447" t="e">
        <f t="shared" si="43"/>
        <v>#REF!</v>
      </c>
      <c r="AT20" s="447" t="e">
        <f t="shared" ca="1" si="44"/>
        <v>#NAME?</v>
      </c>
      <c r="AU20" s="447" t="e">
        <f t="shared" si="45"/>
        <v>#REF!</v>
      </c>
      <c r="AV20" s="447" t="e">
        <f t="shared" si="46"/>
        <v>#REF!</v>
      </c>
      <c r="AW20" s="447" t="e">
        <f t="shared" si="47"/>
        <v>#REF!</v>
      </c>
      <c r="AX20" s="447" t="e">
        <f t="shared" si="48"/>
        <v>#REF!</v>
      </c>
      <c r="AY20" s="447" t="e">
        <f t="shared" si="49"/>
        <v>#REF!</v>
      </c>
      <c r="AZ20" s="445" t="e">
        <f t="shared" si="50"/>
        <v>#REF!</v>
      </c>
      <c r="BA20" s="447" t="e">
        <f t="shared" ca="1" si="51"/>
        <v>#NAME?</v>
      </c>
      <c r="BB20" s="447" t="e">
        <f t="shared" ca="1" si="52"/>
        <v>#NAME?</v>
      </c>
      <c r="BC20" s="447" t="e">
        <f t="shared" si="53"/>
        <v>#REF!</v>
      </c>
      <c r="BD20" s="447" t="e">
        <f t="shared" si="54"/>
        <v>#REF!</v>
      </c>
      <c r="BE20" s="447" t="e">
        <f t="shared" si="55"/>
        <v>#REF!</v>
      </c>
      <c r="BF20" s="447" t="e">
        <f t="shared" si="56"/>
        <v>#REF!</v>
      </c>
      <c r="BG20" s="18"/>
      <c r="BH20" s="2" t="e">
        <f t="shared" ca="1" si="57"/>
        <v>#REF!</v>
      </c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</row>
    <row r="21" spans="1:76" x14ac:dyDescent="0.2">
      <c r="A21" s="560" t="s">
        <v>180</v>
      </c>
      <c r="B21" s="593" t="s">
        <v>157</v>
      </c>
      <c r="C21" s="584">
        <v>625.43307086614175</v>
      </c>
      <c r="D21" s="16"/>
      <c r="E21" s="17">
        <v>22.63</v>
      </c>
      <c r="F21" s="17">
        <v>0</v>
      </c>
      <c r="G21">
        <v>1370</v>
      </c>
      <c r="H21">
        <v>80</v>
      </c>
      <c r="I21">
        <v>779.82</v>
      </c>
      <c r="J21">
        <v>85.78</v>
      </c>
      <c r="K21" s="17">
        <v>40</v>
      </c>
      <c r="L21">
        <v>90.75</v>
      </c>
      <c r="M21">
        <v>1010.48</v>
      </c>
      <c r="N21" s="271">
        <v>0</v>
      </c>
      <c r="O21" s="271">
        <v>0</v>
      </c>
      <c r="P21">
        <v>24.24</v>
      </c>
      <c r="Q21">
        <v>24.27</v>
      </c>
      <c r="R21" s="58"/>
      <c r="S21" s="441">
        <f t="shared" si="29"/>
        <v>1472.63</v>
      </c>
      <c r="T21" s="441" t="e">
        <f t="shared" si="30"/>
        <v>#REF!</v>
      </c>
      <c r="U21" s="441" t="e">
        <f>MAX(U$17:U$18)+IF($B$2="mil",1,0.0254)*DDR2Specs!$B$3</f>
        <v>#REF!</v>
      </c>
      <c r="V21" s="441" t="e">
        <f>MIN(U$17:U$18)+IF($B$2="mil",1,0.0254)*DDR2Specs!$C$3</f>
        <v>#REF!</v>
      </c>
      <c r="W21" s="18"/>
      <c r="X21" s="534" t="e">
        <f t="shared" si="31"/>
        <v>#REF!</v>
      </c>
      <c r="Y21" s="447" t="e">
        <f t="shared" si="32"/>
        <v>#REF!</v>
      </c>
      <c r="Z21" s="18"/>
      <c r="AA21" s="441">
        <f t="shared" si="33"/>
        <v>3423.7000000000003</v>
      </c>
      <c r="AB21" s="441" t="e">
        <f t="shared" si="34"/>
        <v>#REF!</v>
      </c>
      <c r="AC21" s="441" t="e">
        <f>MAX(AC$17:AC$18)+IF($B$2="mil",1,0.0254)*DDR2Specs!$E$3</f>
        <v>#REF!</v>
      </c>
      <c r="AD21" s="441" t="e">
        <f>MIN(AC$17:AC$18)+IF($B$2="mil",1,0.0254)*DDR2Specs!$F$3</f>
        <v>#REF!</v>
      </c>
      <c r="AE21" s="18"/>
      <c r="AF21" s="534" t="e">
        <f t="shared" si="35"/>
        <v>#REF!</v>
      </c>
      <c r="AG21" s="447" t="e">
        <f t="shared" si="36"/>
        <v>#REF!</v>
      </c>
      <c r="AH21" s="18"/>
      <c r="AI21" s="441">
        <f t="shared" si="37"/>
        <v>3423.7300000000005</v>
      </c>
      <c r="AJ21" s="441" t="e">
        <f t="shared" si="38"/>
        <v>#REF!</v>
      </c>
      <c r="AK21" s="441" t="e">
        <f>MAX(AK$17:AK$18)+IF($B$2="mil",1,0.0254)*DDR2Specs!$E$3</f>
        <v>#REF!</v>
      </c>
      <c r="AL21" s="441" t="e">
        <f>MIN(AK$17:AK$18)+IF($B$2="mil",1,0.0254)*DDR2Specs!$F$3</f>
        <v>#REF!</v>
      </c>
      <c r="AM21" s="18"/>
      <c r="AN21" s="534" t="e">
        <f t="shared" si="39"/>
        <v>#REF!</v>
      </c>
      <c r="AO21" s="447" t="e">
        <f t="shared" si="40"/>
        <v>#REF!</v>
      </c>
      <c r="AP21" s="18"/>
      <c r="AQ21" s="447" t="e">
        <f t="shared" si="41"/>
        <v>#REF!</v>
      </c>
      <c r="AR21" s="447" t="e">
        <f t="shared" si="42"/>
        <v>#REF!</v>
      </c>
      <c r="AS21" s="447" t="e">
        <f t="shared" si="43"/>
        <v>#REF!</v>
      </c>
      <c r="AT21" s="447" t="e">
        <f t="shared" ca="1" si="44"/>
        <v>#NAME?</v>
      </c>
      <c r="AU21" s="447" t="e">
        <f t="shared" si="45"/>
        <v>#REF!</v>
      </c>
      <c r="AV21" s="447" t="e">
        <f t="shared" si="46"/>
        <v>#REF!</v>
      </c>
      <c r="AW21" s="447" t="e">
        <f t="shared" si="47"/>
        <v>#REF!</v>
      </c>
      <c r="AX21" s="447" t="e">
        <f t="shared" si="48"/>
        <v>#REF!</v>
      </c>
      <c r="AY21" s="447" t="e">
        <f t="shared" si="49"/>
        <v>#REF!</v>
      </c>
      <c r="AZ21" s="445" t="e">
        <f t="shared" si="50"/>
        <v>#REF!</v>
      </c>
      <c r="BA21" s="447" t="e">
        <f t="shared" ca="1" si="51"/>
        <v>#NAME?</v>
      </c>
      <c r="BB21" s="447" t="e">
        <f t="shared" ca="1" si="52"/>
        <v>#NAME?</v>
      </c>
      <c r="BC21" s="447" t="e">
        <f t="shared" si="53"/>
        <v>#REF!</v>
      </c>
      <c r="BD21" s="447" t="e">
        <f t="shared" si="54"/>
        <v>#REF!</v>
      </c>
      <c r="BE21" s="447" t="e">
        <f t="shared" si="55"/>
        <v>#REF!</v>
      </c>
      <c r="BF21" s="447" t="e">
        <f t="shared" si="56"/>
        <v>#REF!</v>
      </c>
      <c r="BG21" s="18"/>
      <c r="BH21" s="2" t="e">
        <f t="shared" ca="1" si="57"/>
        <v>#REF!</v>
      </c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</row>
    <row r="22" spans="1:76" x14ac:dyDescent="0.2">
      <c r="A22" s="560" t="s">
        <v>181</v>
      </c>
      <c r="B22" s="593" t="s">
        <v>399</v>
      </c>
      <c r="C22" s="584">
        <v>667.04724409448829</v>
      </c>
      <c r="D22" s="16"/>
      <c r="E22" s="17">
        <v>22.63</v>
      </c>
      <c r="F22" s="17">
        <v>0</v>
      </c>
      <c r="G22">
        <v>1360</v>
      </c>
      <c r="H22">
        <v>50</v>
      </c>
      <c r="I22">
        <v>790.03</v>
      </c>
      <c r="J22">
        <v>44.57</v>
      </c>
      <c r="K22" s="17">
        <v>40</v>
      </c>
      <c r="L22">
        <v>85.78</v>
      </c>
      <c r="M22">
        <v>999.3</v>
      </c>
      <c r="N22" s="271">
        <v>0</v>
      </c>
      <c r="O22" s="271">
        <v>0</v>
      </c>
      <c r="P22">
        <v>25.41</v>
      </c>
      <c r="Q22">
        <v>25.38</v>
      </c>
      <c r="R22" s="58"/>
      <c r="S22" s="441">
        <f t="shared" si="29"/>
        <v>1432.63</v>
      </c>
      <c r="T22" s="441" t="e">
        <f t="shared" si="30"/>
        <v>#REF!</v>
      </c>
      <c r="U22" s="441" t="e">
        <f>MAX(U$17:U$18)+IF($B$2="mil",1,0.0254)*DDR2Specs!$B$3</f>
        <v>#REF!</v>
      </c>
      <c r="V22" s="441" t="e">
        <f>MIN(U$17:U$18)+IF($B$2="mil",1,0.0254)*DDR2Specs!$C$3</f>
        <v>#REF!</v>
      </c>
      <c r="W22" s="18"/>
      <c r="X22" s="534" t="e">
        <f t="shared" si="31"/>
        <v>#REF!</v>
      </c>
      <c r="Y22" s="447" t="e">
        <f t="shared" si="32"/>
        <v>#REF!</v>
      </c>
      <c r="Z22" s="18"/>
      <c r="AA22" s="441">
        <f t="shared" si="33"/>
        <v>3367.7200000000003</v>
      </c>
      <c r="AB22" s="441" t="e">
        <f t="shared" si="34"/>
        <v>#REF!</v>
      </c>
      <c r="AC22" s="441" t="e">
        <f>MAX(AC$17:AC$18)+IF($B$2="mil",1,0.0254)*DDR2Specs!$E$3</f>
        <v>#REF!</v>
      </c>
      <c r="AD22" s="441" t="e">
        <f>MIN(AC$17:AC$18)+IF($B$2="mil",1,0.0254)*DDR2Specs!$F$3</f>
        <v>#REF!</v>
      </c>
      <c r="AE22" s="18"/>
      <c r="AF22" s="534" t="e">
        <f t="shared" si="35"/>
        <v>#REF!</v>
      </c>
      <c r="AG22" s="447" t="e">
        <f t="shared" si="36"/>
        <v>#REF!</v>
      </c>
      <c r="AH22" s="18"/>
      <c r="AI22" s="441">
        <f t="shared" si="37"/>
        <v>3367.6900000000005</v>
      </c>
      <c r="AJ22" s="441" t="e">
        <f t="shared" si="38"/>
        <v>#REF!</v>
      </c>
      <c r="AK22" s="441" t="e">
        <f>MAX(AK$17:AK$18)+IF($B$2="mil",1,0.0254)*DDR2Specs!$E$3</f>
        <v>#REF!</v>
      </c>
      <c r="AL22" s="441" t="e">
        <f>MIN(AK$17:AK$18)+IF($B$2="mil",1,0.0254)*DDR2Specs!$F$3</f>
        <v>#REF!</v>
      </c>
      <c r="AM22" s="18"/>
      <c r="AN22" s="534" t="e">
        <f t="shared" si="39"/>
        <v>#REF!</v>
      </c>
      <c r="AO22" s="447" t="e">
        <f t="shared" si="40"/>
        <v>#REF!</v>
      </c>
      <c r="AP22" s="18"/>
      <c r="AQ22" s="447" t="e">
        <f t="shared" si="41"/>
        <v>#REF!</v>
      </c>
      <c r="AR22" s="447" t="e">
        <f t="shared" si="42"/>
        <v>#REF!</v>
      </c>
      <c r="AS22" s="447" t="e">
        <f t="shared" si="43"/>
        <v>#REF!</v>
      </c>
      <c r="AT22" s="447" t="e">
        <f t="shared" ca="1" si="44"/>
        <v>#NAME?</v>
      </c>
      <c r="AU22" s="447" t="e">
        <f t="shared" si="45"/>
        <v>#REF!</v>
      </c>
      <c r="AV22" s="447" t="e">
        <f t="shared" si="46"/>
        <v>#REF!</v>
      </c>
      <c r="AW22" s="447" t="e">
        <f t="shared" si="47"/>
        <v>#REF!</v>
      </c>
      <c r="AX22" s="447" t="e">
        <f t="shared" si="48"/>
        <v>#REF!</v>
      </c>
      <c r="AY22" s="447" t="e">
        <f t="shared" si="49"/>
        <v>#REF!</v>
      </c>
      <c r="AZ22" s="445" t="e">
        <f t="shared" si="50"/>
        <v>#REF!</v>
      </c>
      <c r="BA22" s="447" t="e">
        <f t="shared" ca="1" si="51"/>
        <v>#NAME?</v>
      </c>
      <c r="BB22" s="447" t="e">
        <f t="shared" ca="1" si="52"/>
        <v>#NAME?</v>
      </c>
      <c r="BC22" s="447" t="e">
        <f t="shared" si="53"/>
        <v>#REF!</v>
      </c>
      <c r="BD22" s="447" t="e">
        <f t="shared" si="54"/>
        <v>#REF!</v>
      </c>
      <c r="BE22" s="447" t="e">
        <f t="shared" si="55"/>
        <v>#REF!</v>
      </c>
      <c r="BF22" s="447" t="e">
        <f t="shared" si="56"/>
        <v>#REF!</v>
      </c>
      <c r="BG22" s="18"/>
      <c r="BH22" s="2" t="e">
        <f t="shared" ca="1" si="57"/>
        <v>#REF!</v>
      </c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</row>
    <row r="23" spans="1:76" x14ac:dyDescent="0.2">
      <c r="A23" s="560" t="s">
        <v>182</v>
      </c>
      <c r="B23" s="589" t="s">
        <v>513</v>
      </c>
      <c r="C23" s="584">
        <v>600.07874015748041</v>
      </c>
      <c r="D23" s="16"/>
      <c r="E23" s="17">
        <v>22.63</v>
      </c>
      <c r="F23" s="17">
        <v>0</v>
      </c>
      <c r="G23">
        <v>1460</v>
      </c>
      <c r="H23">
        <v>10</v>
      </c>
      <c r="I23">
        <v>734.97</v>
      </c>
      <c r="J23">
        <v>44.57</v>
      </c>
      <c r="K23" s="17">
        <v>40</v>
      </c>
      <c r="L23">
        <v>85.78</v>
      </c>
      <c r="M23">
        <v>1017.96</v>
      </c>
      <c r="N23" s="271">
        <v>0</v>
      </c>
      <c r="O23" s="271">
        <v>0</v>
      </c>
      <c r="P23">
        <v>32.9</v>
      </c>
      <c r="Q23">
        <v>32.93</v>
      </c>
      <c r="R23" s="58"/>
      <c r="S23" s="441">
        <f t="shared" si="29"/>
        <v>1492.63</v>
      </c>
      <c r="T23" s="441" t="e">
        <f t="shared" si="30"/>
        <v>#REF!</v>
      </c>
      <c r="U23" s="441" t="e">
        <f>MAX(U$17:U$18)+IF($B$2="mil",1,0.0254)*DDR2Specs!$B$3</f>
        <v>#REF!</v>
      </c>
      <c r="V23" s="441" t="e">
        <f>MIN(U$17:U$18)+IF($B$2="mil",1,0.0254)*DDR2Specs!$C$3</f>
        <v>#REF!</v>
      </c>
      <c r="W23" s="18"/>
      <c r="X23" s="534" t="e">
        <f t="shared" si="31"/>
        <v>#REF!</v>
      </c>
      <c r="Y23" s="447" t="e">
        <f t="shared" si="32"/>
        <v>#REF!</v>
      </c>
      <c r="Z23" s="18"/>
      <c r="AA23" s="441">
        <f t="shared" si="33"/>
        <v>3438.8100000000009</v>
      </c>
      <c r="AB23" s="441" t="e">
        <f t="shared" si="34"/>
        <v>#REF!</v>
      </c>
      <c r="AC23" s="441" t="e">
        <f>MAX(AC$17:AC$18)+IF($B$2="mil",1,0.0254)*DDR2Specs!$E$3</f>
        <v>#REF!</v>
      </c>
      <c r="AD23" s="441" t="e">
        <f>MIN(AC$17:AC$18)+IF($B$2="mil",1,0.0254)*DDR2Specs!$F$3</f>
        <v>#REF!</v>
      </c>
      <c r="AE23" s="18"/>
      <c r="AF23" s="534" t="e">
        <f t="shared" si="35"/>
        <v>#REF!</v>
      </c>
      <c r="AG23" s="447" t="e">
        <f t="shared" si="36"/>
        <v>#REF!</v>
      </c>
      <c r="AH23" s="18"/>
      <c r="AI23" s="441">
        <f t="shared" si="37"/>
        <v>3438.8400000000006</v>
      </c>
      <c r="AJ23" s="441" t="e">
        <f t="shared" si="38"/>
        <v>#REF!</v>
      </c>
      <c r="AK23" s="441" t="e">
        <f>MAX(AK$17:AK$18)+IF($B$2="mil",1,0.0254)*DDR2Specs!$E$3</f>
        <v>#REF!</v>
      </c>
      <c r="AL23" s="441" t="e">
        <f>MIN(AK$17:AK$18)+IF($B$2="mil",1,0.0254)*DDR2Specs!$F$3</f>
        <v>#REF!</v>
      </c>
      <c r="AM23" s="18"/>
      <c r="AN23" s="534" t="e">
        <f t="shared" si="39"/>
        <v>#REF!</v>
      </c>
      <c r="AO23" s="447" t="e">
        <f t="shared" si="40"/>
        <v>#REF!</v>
      </c>
      <c r="AP23" s="18"/>
      <c r="AQ23" s="447" t="e">
        <f t="shared" si="41"/>
        <v>#REF!</v>
      </c>
      <c r="AR23" s="447" t="e">
        <f t="shared" si="42"/>
        <v>#REF!</v>
      </c>
      <c r="AS23" s="447" t="e">
        <f t="shared" si="43"/>
        <v>#REF!</v>
      </c>
      <c r="AT23" s="447" t="e">
        <f t="shared" ca="1" si="44"/>
        <v>#NAME?</v>
      </c>
      <c r="AU23" s="447" t="e">
        <f t="shared" si="45"/>
        <v>#REF!</v>
      </c>
      <c r="AV23" s="447" t="e">
        <f t="shared" si="46"/>
        <v>#REF!</v>
      </c>
      <c r="AW23" s="447" t="e">
        <f t="shared" si="47"/>
        <v>#REF!</v>
      </c>
      <c r="AX23" s="447" t="e">
        <f t="shared" si="48"/>
        <v>#REF!</v>
      </c>
      <c r="AY23" s="447" t="e">
        <f t="shared" si="49"/>
        <v>#REF!</v>
      </c>
      <c r="AZ23" s="445" t="e">
        <f t="shared" si="50"/>
        <v>#REF!</v>
      </c>
      <c r="BA23" s="447" t="e">
        <f t="shared" ca="1" si="51"/>
        <v>#NAME?</v>
      </c>
      <c r="BB23" s="447" t="e">
        <f t="shared" ca="1" si="52"/>
        <v>#NAME?</v>
      </c>
      <c r="BC23" s="447" t="e">
        <f t="shared" si="53"/>
        <v>#REF!</v>
      </c>
      <c r="BD23" s="447" t="e">
        <f t="shared" si="54"/>
        <v>#REF!</v>
      </c>
      <c r="BE23" s="447" t="e">
        <f t="shared" si="55"/>
        <v>#REF!</v>
      </c>
      <c r="BF23" s="447" t="e">
        <f t="shared" si="56"/>
        <v>#REF!</v>
      </c>
      <c r="BG23" s="18"/>
      <c r="BH23" s="2" t="e">
        <f t="shared" ca="1" si="57"/>
        <v>#REF!</v>
      </c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</row>
    <row r="24" spans="1:76" x14ac:dyDescent="0.2">
      <c r="A24" s="560" t="s">
        <v>183</v>
      </c>
      <c r="B24" s="594" t="s">
        <v>514</v>
      </c>
      <c r="C24" s="584">
        <v>655.98425196850394</v>
      </c>
      <c r="D24" s="16"/>
      <c r="E24" s="17">
        <v>22.63</v>
      </c>
      <c r="F24" s="17">
        <v>0</v>
      </c>
      <c r="G24">
        <v>1360</v>
      </c>
      <c r="H24">
        <v>50</v>
      </c>
      <c r="I24">
        <v>735.54</v>
      </c>
      <c r="J24">
        <v>85.78</v>
      </c>
      <c r="K24" s="17">
        <v>40</v>
      </c>
      <c r="L24">
        <v>44.57</v>
      </c>
      <c r="M24">
        <v>1027.4100000000001</v>
      </c>
      <c r="N24" s="271">
        <v>0</v>
      </c>
      <c r="O24" s="271">
        <v>0</v>
      </c>
      <c r="P24">
        <v>68.03</v>
      </c>
      <c r="Q24">
        <v>68</v>
      </c>
      <c r="R24" s="58"/>
      <c r="S24" s="441">
        <f t="shared" si="29"/>
        <v>1432.63</v>
      </c>
      <c r="T24" s="441" t="e">
        <f t="shared" si="30"/>
        <v>#REF!</v>
      </c>
      <c r="U24" s="441" t="e">
        <f>MAX(U$17:U$18)+IF($B$2="mil",1,0.0254)*DDR2Specs!$B$3</f>
        <v>#REF!</v>
      </c>
      <c r="V24" s="441" t="e">
        <f>MIN(U$17:U$18)+IF($B$2="mil",1,0.0254)*DDR2Specs!$C$3</f>
        <v>#REF!</v>
      </c>
      <c r="W24" s="18"/>
      <c r="X24" s="534" t="e">
        <f t="shared" si="31"/>
        <v>#REF!</v>
      </c>
      <c r="Y24" s="447" t="e">
        <f t="shared" si="32"/>
        <v>#REF!</v>
      </c>
      <c r="Z24" s="18"/>
      <c r="AA24" s="441">
        <f t="shared" si="33"/>
        <v>3383.9600000000005</v>
      </c>
      <c r="AB24" s="441" t="e">
        <f t="shared" si="34"/>
        <v>#REF!</v>
      </c>
      <c r="AC24" s="441" t="e">
        <f>MAX(AC$17:AC$18)+IF($B$2="mil",1,0.0254)*DDR2Specs!$E$3</f>
        <v>#REF!</v>
      </c>
      <c r="AD24" s="441" t="e">
        <f>MIN(AC$17:AC$18)+IF($B$2="mil",1,0.0254)*DDR2Specs!$F$3</f>
        <v>#REF!</v>
      </c>
      <c r="AE24" s="18"/>
      <c r="AF24" s="534" t="e">
        <f t="shared" si="35"/>
        <v>#REF!</v>
      </c>
      <c r="AG24" s="447" t="e">
        <f t="shared" si="36"/>
        <v>#REF!</v>
      </c>
      <c r="AH24" s="18"/>
      <c r="AI24" s="441">
        <f t="shared" si="37"/>
        <v>3383.9300000000003</v>
      </c>
      <c r="AJ24" s="441" t="e">
        <f t="shared" si="38"/>
        <v>#REF!</v>
      </c>
      <c r="AK24" s="441" t="e">
        <f>MAX(AK$17:AK$18)+IF($B$2="mil",1,0.0254)*DDR2Specs!$E$3</f>
        <v>#REF!</v>
      </c>
      <c r="AL24" s="441" t="e">
        <f>MIN(AK$17:AK$18)+IF($B$2="mil",1,0.0254)*DDR2Specs!$F$3</f>
        <v>#REF!</v>
      </c>
      <c r="AM24" s="18"/>
      <c r="AN24" s="534" t="e">
        <f t="shared" si="39"/>
        <v>#REF!</v>
      </c>
      <c r="AO24" s="447" t="e">
        <f t="shared" si="40"/>
        <v>#REF!</v>
      </c>
      <c r="AP24" s="18"/>
      <c r="AQ24" s="447" t="e">
        <f t="shared" si="41"/>
        <v>#REF!</v>
      </c>
      <c r="AR24" s="447" t="e">
        <f t="shared" si="42"/>
        <v>#REF!</v>
      </c>
      <c r="AS24" s="447" t="e">
        <f t="shared" si="43"/>
        <v>#REF!</v>
      </c>
      <c r="AT24" s="447" t="e">
        <f t="shared" ca="1" si="44"/>
        <v>#NAME?</v>
      </c>
      <c r="AU24" s="447" t="e">
        <f t="shared" si="45"/>
        <v>#REF!</v>
      </c>
      <c r="AV24" s="447" t="e">
        <f t="shared" si="46"/>
        <v>#REF!</v>
      </c>
      <c r="AW24" s="447" t="e">
        <f t="shared" si="47"/>
        <v>#REF!</v>
      </c>
      <c r="AX24" s="447" t="e">
        <f t="shared" si="48"/>
        <v>#REF!</v>
      </c>
      <c r="AY24" s="447" t="e">
        <f t="shared" si="49"/>
        <v>#REF!</v>
      </c>
      <c r="AZ24" s="445" t="e">
        <f t="shared" si="50"/>
        <v>#REF!</v>
      </c>
      <c r="BA24" s="447" t="e">
        <f t="shared" ca="1" si="51"/>
        <v>#NAME?</v>
      </c>
      <c r="BB24" s="447" t="e">
        <f t="shared" ca="1" si="52"/>
        <v>#NAME?</v>
      </c>
      <c r="BC24" s="447" t="e">
        <f t="shared" si="53"/>
        <v>#REF!</v>
      </c>
      <c r="BD24" s="447" t="e">
        <f t="shared" si="54"/>
        <v>#REF!</v>
      </c>
      <c r="BE24" s="447" t="e">
        <f t="shared" si="55"/>
        <v>#REF!</v>
      </c>
      <c r="BF24" s="447" t="e">
        <f t="shared" si="56"/>
        <v>#REF!</v>
      </c>
      <c r="BG24" s="18"/>
      <c r="BH24" s="2" t="e">
        <f t="shared" ca="1" si="57"/>
        <v>#REF!</v>
      </c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</row>
    <row r="25" spans="1:76" x14ac:dyDescent="0.2">
      <c r="A25" s="560" t="s">
        <v>281</v>
      </c>
      <c r="B25" s="589" t="s">
        <v>515</v>
      </c>
      <c r="C25" s="584">
        <v>589.64566929133866</v>
      </c>
      <c r="D25" s="16"/>
      <c r="E25" s="17">
        <v>22.63</v>
      </c>
      <c r="F25" s="17">
        <v>0</v>
      </c>
      <c r="G25">
        <v>1450</v>
      </c>
      <c r="H25">
        <v>30</v>
      </c>
      <c r="I25">
        <v>695.56</v>
      </c>
      <c r="J25">
        <v>44.57</v>
      </c>
      <c r="K25" s="17">
        <v>40</v>
      </c>
      <c r="L25">
        <v>85.78</v>
      </c>
      <c r="M25">
        <v>1020.94</v>
      </c>
      <c r="N25" s="271">
        <v>0</v>
      </c>
      <c r="O25" s="271">
        <v>0</v>
      </c>
      <c r="P25">
        <v>102.17</v>
      </c>
      <c r="Q25">
        <v>102.2</v>
      </c>
      <c r="R25" s="58"/>
      <c r="S25" s="441">
        <f t="shared" si="29"/>
        <v>1502.63</v>
      </c>
      <c r="T25" s="441" t="e">
        <f t="shared" si="30"/>
        <v>#REF!</v>
      </c>
      <c r="U25" s="441" t="e">
        <f>MAX(U$17:U$18)+IF($B$2="mil",1,0.0254)*DDR2Specs!$B$3</f>
        <v>#REF!</v>
      </c>
      <c r="V25" s="441" t="e">
        <f>MIN(U$17:U$18)+IF($B$2="mil",1,0.0254)*DDR2Specs!$C$3</f>
        <v>#REF!</v>
      </c>
      <c r="W25" s="18"/>
      <c r="X25" s="534" t="e">
        <f t="shared" si="31"/>
        <v>#REF!</v>
      </c>
      <c r="Y25" s="447" t="e">
        <f t="shared" si="32"/>
        <v>#REF!</v>
      </c>
      <c r="Z25" s="18"/>
      <c r="AA25" s="441">
        <f t="shared" si="33"/>
        <v>3461.6500000000005</v>
      </c>
      <c r="AB25" s="441" t="e">
        <f t="shared" si="34"/>
        <v>#REF!</v>
      </c>
      <c r="AC25" s="441" t="e">
        <f>MAX(AC$17:AC$18)+IF($B$2="mil",1,0.0254)*DDR2Specs!$E$3</f>
        <v>#REF!</v>
      </c>
      <c r="AD25" s="441" t="e">
        <f>MIN(AC$17:AC$18)+IF($B$2="mil",1,0.0254)*DDR2Specs!$F$3</f>
        <v>#REF!</v>
      </c>
      <c r="AE25" s="18"/>
      <c r="AF25" s="534" t="e">
        <f t="shared" si="35"/>
        <v>#REF!</v>
      </c>
      <c r="AG25" s="447" t="e">
        <f t="shared" si="36"/>
        <v>#REF!</v>
      </c>
      <c r="AH25" s="18"/>
      <c r="AI25" s="441">
        <f t="shared" si="37"/>
        <v>3461.6800000000003</v>
      </c>
      <c r="AJ25" s="441" t="e">
        <f t="shared" si="38"/>
        <v>#REF!</v>
      </c>
      <c r="AK25" s="441" t="e">
        <f>MAX(AK$17:AK$18)+IF($B$2="mil",1,0.0254)*DDR2Specs!$E$3</f>
        <v>#REF!</v>
      </c>
      <c r="AL25" s="441" t="e">
        <f>MIN(AK$17:AK$18)+IF($B$2="mil",1,0.0254)*DDR2Specs!$F$3</f>
        <v>#REF!</v>
      </c>
      <c r="AM25" s="18"/>
      <c r="AN25" s="534" t="e">
        <f t="shared" si="39"/>
        <v>#REF!</v>
      </c>
      <c r="AO25" s="447" t="e">
        <f t="shared" si="40"/>
        <v>#REF!</v>
      </c>
      <c r="AP25" s="18"/>
      <c r="AQ25" s="447" t="e">
        <f t="shared" si="41"/>
        <v>#REF!</v>
      </c>
      <c r="AR25" s="447" t="e">
        <f t="shared" si="42"/>
        <v>#REF!</v>
      </c>
      <c r="AS25" s="447" t="e">
        <f t="shared" si="43"/>
        <v>#REF!</v>
      </c>
      <c r="AT25" s="447" t="e">
        <f t="shared" ca="1" si="44"/>
        <v>#NAME?</v>
      </c>
      <c r="AU25" s="447" t="e">
        <f t="shared" si="45"/>
        <v>#REF!</v>
      </c>
      <c r="AV25" s="447" t="e">
        <f t="shared" si="46"/>
        <v>#REF!</v>
      </c>
      <c r="AW25" s="447" t="e">
        <f t="shared" si="47"/>
        <v>#REF!</v>
      </c>
      <c r="AX25" s="447" t="e">
        <f t="shared" si="48"/>
        <v>#REF!</v>
      </c>
      <c r="AY25" s="447" t="e">
        <f t="shared" si="49"/>
        <v>#REF!</v>
      </c>
      <c r="AZ25" s="445" t="e">
        <f t="shared" si="50"/>
        <v>#REF!</v>
      </c>
      <c r="BA25" s="447" t="e">
        <f t="shared" ca="1" si="51"/>
        <v>#NAME?</v>
      </c>
      <c r="BB25" s="447" t="e">
        <f t="shared" ca="1" si="52"/>
        <v>#NAME?</v>
      </c>
      <c r="BC25" s="447" t="e">
        <f t="shared" si="53"/>
        <v>#REF!</v>
      </c>
      <c r="BD25" s="447" t="e">
        <f t="shared" si="54"/>
        <v>#REF!</v>
      </c>
      <c r="BE25" s="447" t="e">
        <f t="shared" si="55"/>
        <v>#REF!</v>
      </c>
      <c r="BF25" s="447" t="e">
        <f t="shared" si="56"/>
        <v>#REF!</v>
      </c>
      <c r="BG25" s="18"/>
      <c r="BH25" s="2" t="e">
        <f t="shared" ca="1" si="57"/>
        <v>#REF!</v>
      </c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</row>
    <row r="26" spans="1:76" x14ac:dyDescent="0.2">
      <c r="A26" s="560" t="s">
        <v>184</v>
      </c>
      <c r="B26" s="589" t="s">
        <v>516</v>
      </c>
      <c r="C26" s="584">
        <v>669.29133858267721</v>
      </c>
      <c r="D26" s="16"/>
      <c r="E26" s="17">
        <v>22.63</v>
      </c>
      <c r="F26" s="17">
        <v>0</v>
      </c>
      <c r="G26">
        <v>1375</v>
      </c>
      <c r="H26">
        <v>20</v>
      </c>
      <c r="I26">
        <v>775.64</v>
      </c>
      <c r="J26">
        <v>81.64</v>
      </c>
      <c r="K26" s="17">
        <v>40</v>
      </c>
      <c r="L26">
        <v>44.57</v>
      </c>
      <c r="M26">
        <v>958.31</v>
      </c>
      <c r="N26" s="271">
        <v>0</v>
      </c>
      <c r="O26" s="271">
        <v>0</v>
      </c>
      <c r="P26">
        <v>67.8</v>
      </c>
      <c r="Q26">
        <v>67.77</v>
      </c>
      <c r="R26" s="58"/>
      <c r="S26" s="441">
        <f t="shared" si="29"/>
        <v>1417.63</v>
      </c>
      <c r="T26" s="441" t="e">
        <f t="shared" si="30"/>
        <v>#REF!</v>
      </c>
      <c r="U26" s="441" t="e">
        <f>MAX(U$17:U$18)+IF($B$2="mil",1,0.0254)*DDR2Specs!$B$3</f>
        <v>#REF!</v>
      </c>
      <c r="V26" s="441" t="e">
        <f>MIN(U$17:U$18)+IF($B$2="mil",1,0.0254)*DDR2Specs!$C$3</f>
        <v>#REF!</v>
      </c>
      <c r="W26" s="18"/>
      <c r="X26" s="534" t="e">
        <f t="shared" si="31"/>
        <v>#REF!</v>
      </c>
      <c r="Y26" s="447" t="e">
        <f t="shared" si="32"/>
        <v>#REF!</v>
      </c>
      <c r="Z26" s="18"/>
      <c r="AA26" s="441">
        <f t="shared" si="33"/>
        <v>3365.59</v>
      </c>
      <c r="AB26" s="441" t="e">
        <f t="shared" si="34"/>
        <v>#REF!</v>
      </c>
      <c r="AC26" s="441" t="e">
        <f>MAX(AC$17:AC$18)+IF($B$2="mil",1,0.0254)*DDR2Specs!$E$3</f>
        <v>#REF!</v>
      </c>
      <c r="AD26" s="441" t="e">
        <f>MIN(AC$17:AC$18)+IF($B$2="mil",1,0.0254)*DDR2Specs!$F$3</f>
        <v>#REF!</v>
      </c>
      <c r="AE26" s="18"/>
      <c r="AF26" s="534" t="e">
        <f t="shared" si="35"/>
        <v>#REF!</v>
      </c>
      <c r="AG26" s="447" t="e">
        <f t="shared" si="36"/>
        <v>#REF!</v>
      </c>
      <c r="AH26" s="18"/>
      <c r="AI26" s="441">
        <f t="shared" si="37"/>
        <v>3365.56</v>
      </c>
      <c r="AJ26" s="441" t="e">
        <f t="shared" si="38"/>
        <v>#REF!</v>
      </c>
      <c r="AK26" s="441" t="e">
        <f>MAX(AK$17:AK$18)+IF($B$2="mil",1,0.0254)*DDR2Specs!$E$3</f>
        <v>#REF!</v>
      </c>
      <c r="AL26" s="441" t="e">
        <f>MIN(AK$17:AK$18)+IF($B$2="mil",1,0.0254)*DDR2Specs!$F$3</f>
        <v>#REF!</v>
      </c>
      <c r="AM26" s="18"/>
      <c r="AN26" s="534" t="e">
        <f t="shared" si="39"/>
        <v>#REF!</v>
      </c>
      <c r="AO26" s="447" t="e">
        <f t="shared" si="40"/>
        <v>#REF!</v>
      </c>
      <c r="AP26" s="18"/>
      <c r="AQ26" s="447" t="e">
        <f t="shared" si="41"/>
        <v>#REF!</v>
      </c>
      <c r="AR26" s="447" t="e">
        <f t="shared" si="42"/>
        <v>#REF!</v>
      </c>
      <c r="AS26" s="447" t="e">
        <f t="shared" si="43"/>
        <v>#REF!</v>
      </c>
      <c r="AT26" s="447" t="e">
        <f t="shared" ca="1" si="44"/>
        <v>#NAME?</v>
      </c>
      <c r="AU26" s="447" t="e">
        <f t="shared" si="45"/>
        <v>#REF!</v>
      </c>
      <c r="AV26" s="447" t="e">
        <f t="shared" si="46"/>
        <v>#REF!</v>
      </c>
      <c r="AW26" s="447" t="e">
        <f t="shared" si="47"/>
        <v>#REF!</v>
      </c>
      <c r="AX26" s="447" t="e">
        <f t="shared" si="48"/>
        <v>#REF!</v>
      </c>
      <c r="AY26" s="447" t="e">
        <f t="shared" si="49"/>
        <v>#REF!</v>
      </c>
      <c r="AZ26" s="445" t="e">
        <f t="shared" si="50"/>
        <v>#REF!</v>
      </c>
      <c r="BA26" s="447" t="e">
        <f t="shared" ca="1" si="51"/>
        <v>#NAME?</v>
      </c>
      <c r="BB26" s="447" t="e">
        <f t="shared" ca="1" si="52"/>
        <v>#NAME?</v>
      </c>
      <c r="BC26" s="447" t="e">
        <f t="shared" si="53"/>
        <v>#REF!</v>
      </c>
      <c r="BD26" s="447" t="e">
        <f t="shared" si="54"/>
        <v>#REF!</v>
      </c>
      <c r="BE26" s="447" t="e">
        <f t="shared" si="55"/>
        <v>#REF!</v>
      </c>
      <c r="BF26" s="447" t="e">
        <f t="shared" si="56"/>
        <v>#REF!</v>
      </c>
      <c r="BG26" s="18"/>
      <c r="BH26" s="2" t="e">
        <f t="shared" ca="1" si="57"/>
        <v>#REF!</v>
      </c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</row>
    <row r="27" spans="1:76" x14ac:dyDescent="0.2">
      <c r="A27" s="560" t="s">
        <v>185</v>
      </c>
      <c r="B27" s="590" t="s">
        <v>554</v>
      </c>
      <c r="C27" s="584">
        <v>627.91338582677167</v>
      </c>
      <c r="D27" s="16"/>
      <c r="E27" s="17">
        <v>22.63</v>
      </c>
      <c r="F27" s="17">
        <v>0</v>
      </c>
      <c r="G27">
        <v>1445</v>
      </c>
      <c r="H27">
        <v>6</v>
      </c>
      <c r="I27">
        <v>727.49</v>
      </c>
      <c r="J27">
        <v>29.57</v>
      </c>
      <c r="K27" s="17">
        <v>40</v>
      </c>
      <c r="L27">
        <v>85.78</v>
      </c>
      <c r="M27">
        <v>999.62</v>
      </c>
      <c r="N27" s="271">
        <v>0</v>
      </c>
      <c r="O27" s="271">
        <v>0</v>
      </c>
      <c r="P27">
        <v>75.42</v>
      </c>
      <c r="Q27">
        <v>76.09</v>
      </c>
      <c r="R27" s="58"/>
      <c r="S27" s="441">
        <f t="shared" si="29"/>
        <v>1473.63</v>
      </c>
      <c r="T27" s="441" t="e">
        <f t="shared" si="30"/>
        <v>#REF!</v>
      </c>
      <c r="U27" s="441" t="e">
        <f>MAX(U$17:U$18)+IF($B$2="mil",1,0.0254)*DDR2Specs!$B$3</f>
        <v>#REF!</v>
      </c>
      <c r="V27" s="441" t="e">
        <f>MIN(U$17:U$18)+IF($B$2="mil",1,0.0254)*DDR2Specs!$C$3</f>
        <v>#REF!</v>
      </c>
      <c r="W27" s="18"/>
      <c r="X27" s="534" t="e">
        <f t="shared" si="31"/>
        <v>#REF!</v>
      </c>
      <c r="Y27" s="447" t="e">
        <f t="shared" si="32"/>
        <v>#REF!</v>
      </c>
      <c r="Z27" s="18"/>
      <c r="AA27" s="441">
        <f t="shared" si="33"/>
        <v>3425.51</v>
      </c>
      <c r="AB27" s="441" t="e">
        <f t="shared" si="34"/>
        <v>#REF!</v>
      </c>
      <c r="AC27" s="441" t="e">
        <f>MAX(AC$17:AC$18)+IF($B$2="mil",1,0.0254)*DDR2Specs!$E$3</f>
        <v>#REF!</v>
      </c>
      <c r="AD27" s="441" t="e">
        <f>MIN(AC$17:AC$18)+IF($B$2="mil",1,0.0254)*DDR2Specs!$F$3</f>
        <v>#REF!</v>
      </c>
      <c r="AE27" s="18"/>
      <c r="AF27" s="534" t="e">
        <f t="shared" si="35"/>
        <v>#REF!</v>
      </c>
      <c r="AG27" s="447" t="e">
        <f t="shared" si="36"/>
        <v>#REF!</v>
      </c>
      <c r="AH27" s="18"/>
      <c r="AI27" s="441">
        <f t="shared" si="37"/>
        <v>3426.1800000000003</v>
      </c>
      <c r="AJ27" s="441" t="e">
        <f t="shared" si="38"/>
        <v>#REF!</v>
      </c>
      <c r="AK27" s="441" t="e">
        <f>MAX(AK$17:AK$18)+IF($B$2="mil",1,0.0254)*DDR2Specs!$E$3</f>
        <v>#REF!</v>
      </c>
      <c r="AL27" s="441" t="e">
        <f>MIN(AK$17:AK$18)+IF($B$2="mil",1,0.0254)*DDR2Specs!$F$3</f>
        <v>#REF!</v>
      </c>
      <c r="AM27" s="18"/>
      <c r="AN27" s="534" t="e">
        <f t="shared" si="39"/>
        <v>#REF!</v>
      </c>
      <c r="AO27" s="447" t="e">
        <f t="shared" si="40"/>
        <v>#REF!</v>
      </c>
      <c r="AP27" s="18"/>
      <c r="AQ27" s="447" t="e">
        <f t="shared" si="41"/>
        <v>#REF!</v>
      </c>
      <c r="AR27" s="447" t="e">
        <f t="shared" si="42"/>
        <v>#REF!</v>
      </c>
      <c r="AS27" s="447" t="e">
        <f t="shared" si="43"/>
        <v>#REF!</v>
      </c>
      <c r="AT27" s="447" t="e">
        <f t="shared" ca="1" si="44"/>
        <v>#NAME?</v>
      </c>
      <c r="AU27" s="447" t="e">
        <f t="shared" si="45"/>
        <v>#REF!</v>
      </c>
      <c r="AV27" s="447" t="e">
        <f t="shared" si="46"/>
        <v>#REF!</v>
      </c>
      <c r="AW27" s="447" t="e">
        <f t="shared" si="47"/>
        <v>#REF!</v>
      </c>
      <c r="AX27" s="447" t="e">
        <f t="shared" si="48"/>
        <v>#REF!</v>
      </c>
      <c r="AY27" s="447" t="e">
        <f t="shared" si="49"/>
        <v>#REF!</v>
      </c>
      <c r="AZ27" s="445" t="e">
        <f t="shared" si="50"/>
        <v>#REF!</v>
      </c>
      <c r="BA27" s="447" t="e">
        <f t="shared" ca="1" si="51"/>
        <v>#NAME?</v>
      </c>
      <c r="BB27" s="447" t="e">
        <f t="shared" ca="1" si="52"/>
        <v>#NAME?</v>
      </c>
      <c r="BC27" s="447" t="e">
        <f t="shared" si="53"/>
        <v>#REF!</v>
      </c>
      <c r="BD27" s="447" t="e">
        <f t="shared" si="54"/>
        <v>#REF!</v>
      </c>
      <c r="BE27" s="447" t="e">
        <f t="shared" si="55"/>
        <v>#REF!</v>
      </c>
      <c r="BF27" s="447" t="e">
        <f t="shared" si="56"/>
        <v>#REF!</v>
      </c>
      <c r="BG27" s="18"/>
      <c r="BH27" s="2" t="e">
        <f t="shared" ca="1" si="57"/>
        <v>#REF!</v>
      </c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</row>
    <row r="28" spans="1:76" x14ac:dyDescent="0.2">
      <c r="A28" s="563" t="s">
        <v>247</v>
      </c>
      <c r="B28" s="591"/>
      <c r="C28" s="585"/>
      <c r="D28" s="51"/>
      <c r="E28" s="68"/>
      <c r="F28" s="68"/>
      <c r="G28" s="394"/>
      <c r="H28" s="265"/>
      <c r="I28" s="265"/>
      <c r="J28" s="265"/>
      <c r="K28" s="265"/>
      <c r="L28" s="265"/>
      <c r="M28" s="265"/>
      <c r="N28" s="265"/>
      <c r="O28" s="265"/>
      <c r="P28" s="265"/>
      <c r="Q28" s="265"/>
      <c r="R28" s="8"/>
      <c r="S28" s="68"/>
      <c r="T28" s="539"/>
      <c r="U28" s="539"/>
      <c r="V28" s="540"/>
      <c r="W28" s="540"/>
      <c r="X28" s="541"/>
      <c r="Y28" s="15"/>
      <c r="Z28" s="540"/>
      <c r="AA28" s="68"/>
      <c r="AB28" s="539"/>
      <c r="AC28" s="539"/>
      <c r="AD28" s="540"/>
      <c r="AE28" s="540"/>
      <c r="AF28" s="541"/>
      <c r="AG28" s="15"/>
      <c r="AH28" s="540"/>
      <c r="AI28" s="68"/>
      <c r="AJ28" s="539"/>
      <c r="AK28" s="539"/>
      <c r="AL28" s="540"/>
      <c r="AM28" s="540"/>
      <c r="AN28" s="541"/>
      <c r="AO28" s="15"/>
      <c r="AP28" s="540"/>
      <c r="AQ28" s="15"/>
      <c r="AR28" s="15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69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</row>
    <row r="29" spans="1:76" x14ac:dyDescent="0.2">
      <c r="A29" s="576" t="str">
        <f>'DDR2 Strobes - 2x16_1R SODIMM'!$A$17</f>
        <v>SA_DQS2</v>
      </c>
      <c r="B29" s="592" t="str">
        <f>'DDR2 Strobes - 2x16_1R SODIMM'!$B$17</f>
        <v>AB24</v>
      </c>
      <c r="C29" s="586"/>
      <c r="D29" s="44"/>
      <c r="E29" s="67"/>
      <c r="F29" s="67"/>
      <c r="G29" s="602"/>
      <c r="H29" s="603"/>
      <c r="I29" s="603"/>
      <c r="J29" s="603"/>
      <c r="K29" s="603"/>
      <c r="L29" s="603"/>
      <c r="M29" s="603"/>
      <c r="N29" s="603"/>
      <c r="O29" s="603"/>
      <c r="P29" s="603"/>
      <c r="Q29" s="603"/>
      <c r="R29" s="67"/>
      <c r="S29" s="67"/>
      <c r="T29" s="48"/>
      <c r="U29" s="48" t="e">
        <f>'DDR2 Strobes - 2x16_1R SODIMM'!$U$17</f>
        <v>#REF!</v>
      </c>
      <c r="V29" s="48"/>
      <c r="W29" s="48"/>
      <c r="X29" s="48"/>
      <c r="Y29" s="542"/>
      <c r="Z29" s="48"/>
      <c r="AA29" s="67"/>
      <c r="AB29" s="48"/>
      <c r="AC29" s="48" t="e">
        <f>'DDR2 Strobes - 2x16_1R SODIMM'!$AD$17</f>
        <v>#REF!</v>
      </c>
      <c r="AD29" s="48"/>
      <c r="AE29" s="48"/>
      <c r="AF29" s="48"/>
      <c r="AG29" s="542"/>
      <c r="AH29" s="48"/>
      <c r="AI29" s="67"/>
      <c r="AJ29" s="48"/>
      <c r="AK29" s="48" t="e">
        <f>'DDR2 Strobes - 2x16_1R SODIMM'!$AL$17</f>
        <v>#REF!</v>
      </c>
      <c r="AL29" s="48"/>
      <c r="AM29" s="48"/>
      <c r="AN29" s="48"/>
      <c r="AO29" s="542"/>
      <c r="AP29" s="48"/>
      <c r="AQ29" s="542"/>
      <c r="AR29" s="542"/>
      <c r="AS29" s="542"/>
      <c r="AT29" s="542"/>
      <c r="AU29" s="542"/>
      <c r="AV29" s="542"/>
      <c r="AW29" s="542"/>
      <c r="AX29" s="542"/>
      <c r="AY29" s="542"/>
      <c r="AZ29" s="542"/>
      <c r="BA29" s="542"/>
      <c r="BB29" s="542"/>
      <c r="BC29" s="542"/>
      <c r="BD29" s="542"/>
      <c r="BE29" s="542"/>
      <c r="BF29" s="542"/>
      <c r="BG29" s="48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</row>
    <row r="30" spans="1:76" x14ac:dyDescent="0.2">
      <c r="A30" s="576" t="str">
        <f>'DDR2 Strobes - 2x16_1R SODIMM'!$A$18</f>
        <v>SA_DQS2#</v>
      </c>
      <c r="B30" s="592" t="str">
        <f>'DDR2 Strobes - 2x16_1R SODIMM'!$B$18</f>
        <v>AB22</v>
      </c>
      <c r="C30" s="586"/>
      <c r="D30" s="44"/>
      <c r="E30" s="67"/>
      <c r="F30" s="67"/>
      <c r="G30" s="602"/>
      <c r="H30" s="603"/>
      <c r="I30" s="603"/>
      <c r="J30" s="603"/>
      <c r="K30" s="603"/>
      <c r="L30" s="603"/>
      <c r="M30" s="603"/>
      <c r="N30" s="603"/>
      <c r="O30" s="603"/>
      <c r="P30" s="603"/>
      <c r="Q30" s="603"/>
      <c r="R30" s="67"/>
      <c r="S30" s="67"/>
      <c r="T30" s="537"/>
      <c r="U30" s="48" t="e">
        <f>'DDR2 Strobes - 2x16_1R SODIMM'!$U$18</f>
        <v>#REF!</v>
      </c>
      <c r="V30" s="48"/>
      <c r="W30" s="48"/>
      <c r="X30" s="48"/>
      <c r="Y30" s="542"/>
      <c r="Z30" s="48"/>
      <c r="AA30" s="536"/>
      <c r="AB30" s="537"/>
      <c r="AC30" s="48" t="e">
        <f>'DDR2 Strobes - 2x16_1R SODIMM'!$AD$18</f>
        <v>#REF!</v>
      </c>
      <c r="AD30" s="48"/>
      <c r="AE30" s="48"/>
      <c r="AF30" s="48"/>
      <c r="AG30" s="542"/>
      <c r="AH30" s="48"/>
      <c r="AI30" s="536"/>
      <c r="AJ30" s="537"/>
      <c r="AK30" s="48" t="e">
        <f>'DDR2 Strobes - 2x16_1R SODIMM'!$AL$18</f>
        <v>#REF!</v>
      </c>
      <c r="AL30" s="48"/>
      <c r="AM30" s="48"/>
      <c r="AN30" s="48"/>
      <c r="AO30" s="542"/>
      <c r="AP30" s="48"/>
      <c r="AQ30" s="542"/>
      <c r="AR30" s="542"/>
      <c r="AS30" s="543"/>
      <c r="AT30" s="543"/>
      <c r="AU30" s="543"/>
      <c r="AV30" s="543"/>
      <c r="AW30" s="543"/>
      <c r="AX30" s="543"/>
      <c r="AY30" s="543"/>
      <c r="AZ30" s="543"/>
      <c r="BA30" s="543"/>
      <c r="BB30" s="543"/>
      <c r="BC30" s="543"/>
      <c r="BD30" s="543"/>
      <c r="BE30" s="543"/>
      <c r="BF30" s="543"/>
      <c r="BG30" s="48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</row>
    <row r="31" spans="1:76" x14ac:dyDescent="0.2">
      <c r="A31" s="560" t="s">
        <v>186</v>
      </c>
      <c r="B31" s="589" t="s">
        <v>517</v>
      </c>
      <c r="C31" s="584">
        <v>532.63779527559052</v>
      </c>
      <c r="D31" s="16"/>
      <c r="E31" s="17">
        <v>22.63</v>
      </c>
      <c r="F31" s="17">
        <v>0</v>
      </c>
      <c r="G31">
        <v>1615.28</v>
      </c>
      <c r="H31">
        <v>0</v>
      </c>
      <c r="I31">
        <v>779.42</v>
      </c>
      <c r="J31">
        <v>85.78</v>
      </c>
      <c r="K31" s="17">
        <v>40</v>
      </c>
      <c r="L31">
        <v>43.4</v>
      </c>
      <c r="M31">
        <v>1122.3699999999999</v>
      </c>
      <c r="N31" s="271">
        <v>0</v>
      </c>
      <c r="O31" s="271">
        <v>0</v>
      </c>
      <c r="P31">
        <v>108.87</v>
      </c>
      <c r="Q31">
        <v>108.88</v>
      </c>
      <c r="R31" s="58"/>
      <c r="S31" s="441">
        <f t="shared" ref="S31:S39" si="58" xml:space="preserve"> E31+F31+G31+H31</f>
        <v>1637.91</v>
      </c>
      <c r="T31" s="441" t="e">
        <f t="shared" ref="T31:T39" si="59">S31+IF($B$2="mil",1,0.0254)*C31</f>
        <v>#REF!</v>
      </c>
      <c r="U31" s="441" t="e">
        <f>MAX(U$29:U$30)+IF($B$2="mil",1,0.0254)*DDR2Specs!$B$3</f>
        <v>#REF!</v>
      </c>
      <c r="V31" s="441" t="e">
        <f>MIN(U$29:U$30)+IF($B$2="mil",1,0.0254)*DDR2Specs!$C$3</f>
        <v>#REF!</v>
      </c>
      <c r="W31" s="18"/>
      <c r="X31" s="534" t="e">
        <f t="shared" ref="X31:X39" si="60">IF($T31&lt;$U31,$U31-$T31,"Pass")</f>
        <v>#REF!</v>
      </c>
      <c r="Y31" s="447" t="e">
        <f t="shared" ref="Y31:Y39" si="61">IF($T31&gt;$V31,$T31-$V31,"Pass")</f>
        <v>#REF!</v>
      </c>
      <c r="Z31" s="18"/>
      <c r="AA31" s="441">
        <f t="shared" ref="AA31:AA39" si="62">SUM(E31:G31,I31:N31,P31)</f>
        <v>3817.75</v>
      </c>
      <c r="AB31" s="441" t="e">
        <f t="shared" ref="AB31:AB39" si="63">AA31+IF($B$2="mil",1,0.0254)*$C31</f>
        <v>#REF!</v>
      </c>
      <c r="AC31" s="441" t="e">
        <f>MAX(AC$29:AC$30)+IF($B$2="mil",1,0.0254)*DDR2Specs!$E$3</f>
        <v>#REF!</v>
      </c>
      <c r="AD31" s="441" t="e">
        <f>MIN(AC$29:AC$30)+IF($B$2="mil",1,0.0254)*DDR2Specs!$F$3</f>
        <v>#REF!</v>
      </c>
      <c r="AE31" s="18"/>
      <c r="AF31" s="534" t="e">
        <f t="shared" ref="AF31:AF39" si="64">IF($AB31&lt;$AC31,$AC31-$AB31,"Pass")</f>
        <v>#REF!</v>
      </c>
      <c r="AG31" s="447" t="e">
        <f t="shared" ref="AG31:AG39" si="65">IF($AB31&gt;$AD31,$AB31-$AD31,"Pass")</f>
        <v>#REF!</v>
      </c>
      <c r="AH31" s="18"/>
      <c r="AI31" s="441">
        <f t="shared" ref="AI31:AI39" si="66">SUM(E31:G31,I31:M31,O31,Q31)</f>
        <v>3817.76</v>
      </c>
      <c r="AJ31" s="441" t="e">
        <f t="shared" ref="AJ31:AJ39" si="67">AI31+IF($B$2="mil",1,0.0254)*$C31</f>
        <v>#REF!</v>
      </c>
      <c r="AK31" s="441" t="e">
        <f>MAX(AK$29:AK$30)+IF($B$2="mil",1,0.0254)*DDR2Specs!$E$3</f>
        <v>#REF!</v>
      </c>
      <c r="AL31" s="441" t="e">
        <f>MIN(AK$29:AK$30)+IF($B$2="mil",1,0.0254)*DDR2Specs!$F$3</f>
        <v>#REF!</v>
      </c>
      <c r="AM31" s="18"/>
      <c r="AN31" s="534" t="e">
        <f t="shared" ref="AN31:AN39" si="68">IF($AJ31&lt;$AK31,$AK31-$AJ31,"Pass")</f>
        <v>#REF!</v>
      </c>
      <c r="AO31" s="447" t="e">
        <f t="shared" ref="AO31:AO39" si="69">IF($AJ31&gt;$AL31,$AJ31-$AL31,"Pass")</f>
        <v>#REF!</v>
      </c>
      <c r="AP31" s="18"/>
      <c r="AQ31" s="447" t="e">
        <f t="shared" ref="AQ31:AQ39" si="70">IF($E31&lt;=IF($B$2="mil",1,0.0254)*50,"Pass",IF($B$2="mil",1,0.0254)*50-$E31)</f>
        <v>#REF!</v>
      </c>
      <c r="AR31" s="447" t="e">
        <f t="shared" ref="AR31:AR39" si="71">IF($F31&lt;=IF($B$2="mil",1,0.0254)*500,"Pass",IF($B$2="mil",1,0.0254)*500-$F31)</f>
        <v>#REF!</v>
      </c>
      <c r="AS31" s="447" t="e">
        <f t="shared" ref="AS31:AS39" si="72">IF($H31&lt;=IF($B$2="mil",1,0.0254)*250,"Pass",IF($B$2="mil",1,0.0254)*250-$H31)</f>
        <v>#REF!</v>
      </c>
      <c r="AT31" s="447" t="e">
        <f t="shared" ref="AT31:AT39" ca="1" si="73">CheckLength(IF($B$2="mil",1,0.0254)*750, IF($B$2="mil",1,0.0254)*125-J31, 0, I31,J31,0)</f>
        <v>#NAME?</v>
      </c>
      <c r="AU31" s="447" t="e">
        <f t="shared" ref="AU31:AU39" si="74">IF($J31&lt;=IF($B$2="mil",1,0.0254)*125,"Pass",IF($B$2="mil",1,0.0254)*125-$J31)</f>
        <v>#REF!</v>
      </c>
      <c r="AV31" s="447" t="e">
        <f t="shared" ref="AV31:AV39" si="75">IF($L31&lt;=IF($B$2="mil",1,0.0254)*125,"Pass",IF($B$2="mil",1,0.0254)*125-$L31)</f>
        <v>#REF!</v>
      </c>
      <c r="AW31" s="447" t="e">
        <f t="shared" ref="AW31:AW39" si="76">IF(($L31+$M31)&lt;=IF($B$2="mil",1,0.0254)*1275,"Pass",IF($B$2="mil",1,0.0254)*1275-($L31+H31))</f>
        <v>#REF!</v>
      </c>
      <c r="AX31" s="447" t="e">
        <f t="shared" ref="AX31:AX39" si="77">IF($N31&lt;=IF($B$2="mil",1,0.0254)*150,"Pass",IF($B$2="mil",1,0.0254)*150-$N31)</f>
        <v>#REF!</v>
      </c>
      <c r="AY31" s="447" t="e">
        <f t="shared" ref="AY31:AY39" si="78">IF($O31&lt;=IF($B$2="mil",1,0.0254)*150,"Pass",IF($B$2="mil",1,0.0254)*150-$O31)</f>
        <v>#REF!</v>
      </c>
      <c r="AZ31" s="445" t="e">
        <f t="shared" ref="AZ31:AZ39" si="79">IF(MAX(N31:O31)-MIN(N31:O31)&lt;=IF($B$2="mil",1,0.0254)*50,"Pass",MAX(N31:O31)-MIN(N31:O31)-IF($B$2="mil",1,0.0254)*50)</f>
        <v>#REF!</v>
      </c>
      <c r="BA31" s="447" t="e">
        <f t="shared" ref="BA31:BA39" ca="1" si="80">CheckLength2(IF($B$2="mil",1,0.0254)*200,$P31,N31,0)</f>
        <v>#NAME?</v>
      </c>
      <c r="BB31" s="447" t="e">
        <f t="shared" ref="BB31:BB39" ca="1" si="81">CheckLength2(IF($B$2="mil",1,0.0254)*200,$Q31,O31,0)</f>
        <v>#NAME?</v>
      </c>
      <c r="BC31" s="447" t="e">
        <f t="shared" ref="BC31:BC39" si="82">IF(AND($S31&gt;=IF($B$2="mil",1,0.0254)*500, $S31&lt;=IF($B$2="mil",1,0.0254)*4000),"Pass",IF($B$2="mil",1,0.0254)*4000-$S31)</f>
        <v>#REF!</v>
      </c>
      <c r="BD31" s="447" t="e">
        <f t="shared" ref="BD31:BD39" si="83">IF(AND($T31&gt;=IF($B$2="mil",1,0.0254)*500, $T31&lt;=IF($B$2="mil",1,0.0254)*4500),"Pass",IF($B$2="mil",1,0.0254)*4500-$T31)</f>
        <v>#REF!</v>
      </c>
      <c r="BE31" s="447" t="e">
        <f t="shared" ref="BE31:BE39" si="84">IF(AND($AA31&gt;=IF($B$2="mil",1,0.0254)*500, $AA31&lt;=IF($B$2="mil",1,0.0254)*5500),"Pass",IF($B$2="mil",1,0.0254)*5500-$AA31)</f>
        <v>#REF!</v>
      </c>
      <c r="BF31" s="447" t="e">
        <f t="shared" ref="BF31:BF39" si="85">IF(AND($AB31&gt;=IF($B$2="mil",1,0.0254)*500, $AB31&lt;=IF($B$2="mil",1,0.0254)*6000),"Pass",IF($B$2="mil",1,0.0254)*6000-$AB31)</f>
        <v>#REF!</v>
      </c>
      <c r="BG31" s="18"/>
      <c r="BH31" s="2" t="e">
        <f t="shared" ref="BH31:BH39" ca="1" si="86">IF(AND(AN31="Pass",AO31="Pass",AQ31="Pass",BD31="Pass",AS31="Pass",AR31="Pass",BC31="Pass",X31="Pass",Y31="Pass",BB31="Pass",AW31="Pass",AX31="Pass",AY31="Pass",AZ31="Pass",BA31="Pass",AV31="Pass",AU31="Pass",AT31="Pass",AF31="Pass",AG31="Pass",BE31="Pass",BF31="Pass"),"Pass","Fail")</f>
        <v>#REF!</v>
      </c>
      <c r="BI31" s="2" t="e">
        <f ca="1">IF(AND(BH31="Pass",BH32="Pass",BH33="Pass",BH34="Pass",BH35="Pass",BH36="Pass",BH37="Pass",BH38="Pass",BH39="Pass"),"Pass","Fail")</f>
        <v>#REF!</v>
      </c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</row>
    <row r="32" spans="1:76" x14ac:dyDescent="0.2">
      <c r="A32" s="560" t="s">
        <v>187</v>
      </c>
      <c r="B32" s="589" t="s">
        <v>518</v>
      </c>
      <c r="C32" s="584">
        <v>514.9212598425197</v>
      </c>
      <c r="D32" s="16"/>
      <c r="E32" s="17">
        <v>22.63</v>
      </c>
      <c r="F32" s="17">
        <v>0</v>
      </c>
      <c r="G32">
        <v>1634</v>
      </c>
      <c r="H32">
        <v>0</v>
      </c>
      <c r="I32">
        <v>778.75</v>
      </c>
      <c r="J32">
        <v>85.78</v>
      </c>
      <c r="K32" s="17">
        <v>40</v>
      </c>
      <c r="L32">
        <v>44.57</v>
      </c>
      <c r="M32">
        <v>1205.76</v>
      </c>
      <c r="N32" s="271">
        <v>0</v>
      </c>
      <c r="O32" s="271">
        <v>0</v>
      </c>
      <c r="P32">
        <v>22.26</v>
      </c>
      <c r="Q32">
        <v>22.23</v>
      </c>
      <c r="R32" s="58"/>
      <c r="S32" s="441">
        <f t="shared" si="58"/>
        <v>1656.63</v>
      </c>
      <c r="T32" s="441" t="e">
        <f t="shared" si="59"/>
        <v>#REF!</v>
      </c>
      <c r="U32" s="441" t="e">
        <f>MAX(U$29:U$30)+IF($B$2="mil",1,0.0254)*DDR2Specs!$B$3</f>
        <v>#REF!</v>
      </c>
      <c r="V32" s="441" t="e">
        <f>MIN(U$29:U$30)+IF($B$2="mil",1,0.0254)*DDR2Specs!$C$3</f>
        <v>#REF!</v>
      </c>
      <c r="W32" s="18"/>
      <c r="X32" s="534" t="e">
        <f t="shared" si="60"/>
        <v>#REF!</v>
      </c>
      <c r="Y32" s="447" t="e">
        <f t="shared" si="61"/>
        <v>#REF!</v>
      </c>
      <c r="Z32" s="18"/>
      <c r="AA32" s="441">
        <f t="shared" si="62"/>
        <v>3833.7500000000009</v>
      </c>
      <c r="AB32" s="441" t="e">
        <f t="shared" si="63"/>
        <v>#REF!</v>
      </c>
      <c r="AC32" s="441" t="e">
        <f>MAX(AC$29:AC$30)+IF($B$2="mil",1,0.0254)*DDR2Specs!$E$3</f>
        <v>#REF!</v>
      </c>
      <c r="AD32" s="441" t="e">
        <f>MIN(AC$29:AC$30)+IF($B$2="mil",1,0.0254)*DDR2Specs!$F$3</f>
        <v>#REF!</v>
      </c>
      <c r="AE32" s="18"/>
      <c r="AF32" s="534" t="e">
        <f t="shared" si="64"/>
        <v>#REF!</v>
      </c>
      <c r="AG32" s="447" t="e">
        <f t="shared" si="65"/>
        <v>#REF!</v>
      </c>
      <c r="AH32" s="18"/>
      <c r="AI32" s="441">
        <f t="shared" si="66"/>
        <v>3833.7200000000007</v>
      </c>
      <c r="AJ32" s="441" t="e">
        <f t="shared" si="67"/>
        <v>#REF!</v>
      </c>
      <c r="AK32" s="441" t="e">
        <f>MAX(AK$29:AK$30)+IF($B$2="mil",1,0.0254)*DDR2Specs!$E$3</f>
        <v>#REF!</v>
      </c>
      <c r="AL32" s="441" t="e">
        <f>MIN(AK$29:AK$30)+IF($B$2="mil",1,0.0254)*DDR2Specs!$F$3</f>
        <v>#REF!</v>
      </c>
      <c r="AM32" s="18"/>
      <c r="AN32" s="534" t="e">
        <f t="shared" si="68"/>
        <v>#REF!</v>
      </c>
      <c r="AO32" s="447" t="e">
        <f t="shared" si="69"/>
        <v>#REF!</v>
      </c>
      <c r="AP32" s="18"/>
      <c r="AQ32" s="447" t="e">
        <f t="shared" si="70"/>
        <v>#REF!</v>
      </c>
      <c r="AR32" s="447" t="e">
        <f t="shared" si="71"/>
        <v>#REF!</v>
      </c>
      <c r="AS32" s="447" t="e">
        <f t="shared" si="72"/>
        <v>#REF!</v>
      </c>
      <c r="AT32" s="447" t="e">
        <f t="shared" ca="1" si="73"/>
        <v>#NAME?</v>
      </c>
      <c r="AU32" s="447" t="e">
        <f t="shared" si="74"/>
        <v>#REF!</v>
      </c>
      <c r="AV32" s="447" t="e">
        <f t="shared" si="75"/>
        <v>#REF!</v>
      </c>
      <c r="AW32" s="447" t="e">
        <f t="shared" si="76"/>
        <v>#REF!</v>
      </c>
      <c r="AX32" s="447" t="e">
        <f t="shared" si="77"/>
        <v>#REF!</v>
      </c>
      <c r="AY32" s="447" t="e">
        <f t="shared" si="78"/>
        <v>#REF!</v>
      </c>
      <c r="AZ32" s="445" t="e">
        <f t="shared" si="79"/>
        <v>#REF!</v>
      </c>
      <c r="BA32" s="447" t="e">
        <f t="shared" ca="1" si="80"/>
        <v>#NAME?</v>
      </c>
      <c r="BB32" s="447" t="e">
        <f t="shared" ca="1" si="81"/>
        <v>#NAME?</v>
      </c>
      <c r="BC32" s="447" t="e">
        <f t="shared" si="82"/>
        <v>#REF!</v>
      </c>
      <c r="BD32" s="447" t="e">
        <f t="shared" si="83"/>
        <v>#REF!</v>
      </c>
      <c r="BE32" s="447" t="e">
        <f t="shared" si="84"/>
        <v>#REF!</v>
      </c>
      <c r="BF32" s="447" t="e">
        <f t="shared" si="85"/>
        <v>#REF!</v>
      </c>
      <c r="BG32" s="18"/>
      <c r="BH32" s="2" t="e">
        <f t="shared" ca="1" si="86"/>
        <v>#REF!</v>
      </c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</row>
    <row r="33" spans="1:76" x14ac:dyDescent="0.2">
      <c r="A33" s="560" t="s">
        <v>188</v>
      </c>
      <c r="B33" s="589" t="s">
        <v>519</v>
      </c>
      <c r="C33" s="584">
        <v>468.18897637795277</v>
      </c>
      <c r="D33" s="16"/>
      <c r="E33" s="17">
        <v>22.63</v>
      </c>
      <c r="F33" s="17">
        <v>0</v>
      </c>
      <c r="G33">
        <v>1623.5</v>
      </c>
      <c r="H33">
        <v>50</v>
      </c>
      <c r="I33">
        <v>845</v>
      </c>
      <c r="J33">
        <v>29.57</v>
      </c>
      <c r="K33" s="17">
        <v>40</v>
      </c>
      <c r="L33">
        <v>85.78</v>
      </c>
      <c r="M33">
        <v>1188.58</v>
      </c>
      <c r="N33" s="271">
        <v>0</v>
      </c>
      <c r="O33" s="271">
        <v>0</v>
      </c>
      <c r="P33">
        <v>40.630000000000003</v>
      </c>
      <c r="Q33">
        <v>36.81</v>
      </c>
      <c r="R33" s="58"/>
      <c r="S33" s="441">
        <f t="shared" si="58"/>
        <v>1696.13</v>
      </c>
      <c r="T33" s="441" t="e">
        <f t="shared" si="59"/>
        <v>#REF!</v>
      </c>
      <c r="U33" s="441" t="e">
        <f>MAX(U$29:U$30)+IF($B$2="mil",1,0.0254)*DDR2Specs!$B$3</f>
        <v>#REF!</v>
      </c>
      <c r="V33" s="441" t="e">
        <f>MIN(U$29:U$30)+IF($B$2="mil",1,0.0254)*DDR2Specs!$C$3</f>
        <v>#REF!</v>
      </c>
      <c r="W33" s="18"/>
      <c r="X33" s="534" t="e">
        <f t="shared" si="60"/>
        <v>#REF!</v>
      </c>
      <c r="Y33" s="447" t="e">
        <f t="shared" si="61"/>
        <v>#REF!</v>
      </c>
      <c r="Z33" s="18"/>
      <c r="AA33" s="441">
        <f t="shared" si="62"/>
        <v>3875.6900000000005</v>
      </c>
      <c r="AB33" s="441" t="e">
        <f t="shared" si="63"/>
        <v>#REF!</v>
      </c>
      <c r="AC33" s="441" t="e">
        <f>MAX(AC$29:AC$30)+IF($B$2="mil",1,0.0254)*DDR2Specs!$E$3</f>
        <v>#REF!</v>
      </c>
      <c r="AD33" s="441" t="e">
        <f>MIN(AC$29:AC$30)+IF($B$2="mil",1,0.0254)*DDR2Specs!$F$3</f>
        <v>#REF!</v>
      </c>
      <c r="AE33" s="18"/>
      <c r="AF33" s="534" t="e">
        <f t="shared" si="64"/>
        <v>#REF!</v>
      </c>
      <c r="AG33" s="447" t="e">
        <f t="shared" si="65"/>
        <v>#REF!</v>
      </c>
      <c r="AH33" s="18"/>
      <c r="AI33" s="441">
        <f t="shared" si="66"/>
        <v>3871.8700000000003</v>
      </c>
      <c r="AJ33" s="441" t="e">
        <f t="shared" si="67"/>
        <v>#REF!</v>
      </c>
      <c r="AK33" s="441" t="e">
        <f>MAX(AK$29:AK$30)+IF($B$2="mil",1,0.0254)*DDR2Specs!$E$3</f>
        <v>#REF!</v>
      </c>
      <c r="AL33" s="441" t="e">
        <f>MIN(AK$29:AK$30)+IF($B$2="mil",1,0.0254)*DDR2Specs!$F$3</f>
        <v>#REF!</v>
      </c>
      <c r="AM33" s="18"/>
      <c r="AN33" s="534" t="e">
        <f t="shared" si="68"/>
        <v>#REF!</v>
      </c>
      <c r="AO33" s="447" t="e">
        <f t="shared" si="69"/>
        <v>#REF!</v>
      </c>
      <c r="AP33" s="18"/>
      <c r="AQ33" s="447" t="e">
        <f t="shared" si="70"/>
        <v>#REF!</v>
      </c>
      <c r="AR33" s="447" t="e">
        <f t="shared" si="71"/>
        <v>#REF!</v>
      </c>
      <c r="AS33" s="447" t="e">
        <f t="shared" si="72"/>
        <v>#REF!</v>
      </c>
      <c r="AT33" s="447" t="e">
        <f t="shared" ca="1" si="73"/>
        <v>#NAME?</v>
      </c>
      <c r="AU33" s="447" t="e">
        <f t="shared" si="74"/>
        <v>#REF!</v>
      </c>
      <c r="AV33" s="447" t="e">
        <f t="shared" si="75"/>
        <v>#REF!</v>
      </c>
      <c r="AW33" s="447" t="e">
        <f t="shared" si="76"/>
        <v>#REF!</v>
      </c>
      <c r="AX33" s="447" t="e">
        <f t="shared" si="77"/>
        <v>#REF!</v>
      </c>
      <c r="AY33" s="447" t="e">
        <f t="shared" si="78"/>
        <v>#REF!</v>
      </c>
      <c r="AZ33" s="445" t="e">
        <f t="shared" si="79"/>
        <v>#REF!</v>
      </c>
      <c r="BA33" s="447" t="e">
        <f t="shared" ca="1" si="80"/>
        <v>#NAME?</v>
      </c>
      <c r="BB33" s="447" t="e">
        <f t="shared" ca="1" si="81"/>
        <v>#NAME?</v>
      </c>
      <c r="BC33" s="447" t="e">
        <f t="shared" si="82"/>
        <v>#REF!</v>
      </c>
      <c r="BD33" s="447" t="e">
        <f t="shared" si="83"/>
        <v>#REF!</v>
      </c>
      <c r="BE33" s="447" t="e">
        <f t="shared" si="84"/>
        <v>#REF!</v>
      </c>
      <c r="BF33" s="447" t="e">
        <f t="shared" si="85"/>
        <v>#REF!</v>
      </c>
      <c r="BG33" s="18"/>
      <c r="BH33" s="2" t="e">
        <f t="shared" ca="1" si="86"/>
        <v>#REF!</v>
      </c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</row>
    <row r="34" spans="1:76" x14ac:dyDescent="0.2">
      <c r="A34" s="560" t="s">
        <v>189</v>
      </c>
      <c r="B34" s="589" t="s">
        <v>520</v>
      </c>
      <c r="C34" s="584">
        <v>494.40944881889766</v>
      </c>
      <c r="D34" s="16"/>
      <c r="E34" s="17">
        <v>22.63</v>
      </c>
      <c r="F34" s="17">
        <v>0</v>
      </c>
      <c r="G34">
        <v>1655.37</v>
      </c>
      <c r="H34">
        <v>0</v>
      </c>
      <c r="I34">
        <v>770.06</v>
      </c>
      <c r="J34">
        <v>85.78</v>
      </c>
      <c r="K34" s="17">
        <v>40</v>
      </c>
      <c r="L34">
        <v>44.57</v>
      </c>
      <c r="M34">
        <v>1215.22</v>
      </c>
      <c r="N34" s="271">
        <v>0</v>
      </c>
      <c r="O34" s="271">
        <v>0</v>
      </c>
      <c r="P34">
        <v>22.25</v>
      </c>
      <c r="Q34">
        <v>22.28</v>
      </c>
      <c r="R34" s="58"/>
      <c r="S34" s="441">
        <f t="shared" si="58"/>
        <v>1678</v>
      </c>
      <c r="T34" s="441" t="e">
        <f t="shared" si="59"/>
        <v>#REF!</v>
      </c>
      <c r="U34" s="441" t="e">
        <f>MAX(U$29:U$30)+IF($B$2="mil",1,0.0254)*DDR2Specs!$B$3</f>
        <v>#REF!</v>
      </c>
      <c r="V34" s="441" t="e">
        <f>MIN(U$29:U$30)+IF($B$2="mil",1,0.0254)*DDR2Specs!$C$3</f>
        <v>#REF!</v>
      </c>
      <c r="W34" s="18"/>
      <c r="X34" s="534" t="e">
        <f t="shared" si="60"/>
        <v>#REF!</v>
      </c>
      <c r="Y34" s="447" t="e">
        <f t="shared" si="61"/>
        <v>#REF!</v>
      </c>
      <c r="Z34" s="18"/>
      <c r="AA34" s="441">
        <f t="shared" si="62"/>
        <v>3855.88</v>
      </c>
      <c r="AB34" s="441" t="e">
        <f t="shared" si="63"/>
        <v>#REF!</v>
      </c>
      <c r="AC34" s="441" t="e">
        <f>MAX(AC$29:AC$30)+IF($B$2="mil",1,0.0254)*DDR2Specs!$E$3</f>
        <v>#REF!</v>
      </c>
      <c r="AD34" s="441" t="e">
        <f>MIN(AC$29:AC$30)+IF($B$2="mil",1,0.0254)*DDR2Specs!$F$3</f>
        <v>#REF!</v>
      </c>
      <c r="AE34" s="18"/>
      <c r="AF34" s="534" t="e">
        <f t="shared" si="64"/>
        <v>#REF!</v>
      </c>
      <c r="AG34" s="447" t="e">
        <f t="shared" si="65"/>
        <v>#REF!</v>
      </c>
      <c r="AH34" s="18"/>
      <c r="AI34" s="441">
        <f t="shared" si="66"/>
        <v>3855.9100000000003</v>
      </c>
      <c r="AJ34" s="441" t="e">
        <f t="shared" si="67"/>
        <v>#REF!</v>
      </c>
      <c r="AK34" s="441" t="e">
        <f>MAX(AK$29:AK$30)+IF($B$2="mil",1,0.0254)*DDR2Specs!$E$3</f>
        <v>#REF!</v>
      </c>
      <c r="AL34" s="441" t="e">
        <f>MIN(AK$29:AK$30)+IF($B$2="mil",1,0.0254)*DDR2Specs!$F$3</f>
        <v>#REF!</v>
      </c>
      <c r="AM34" s="18"/>
      <c r="AN34" s="534" t="e">
        <f t="shared" si="68"/>
        <v>#REF!</v>
      </c>
      <c r="AO34" s="447" t="e">
        <f t="shared" si="69"/>
        <v>#REF!</v>
      </c>
      <c r="AP34" s="18"/>
      <c r="AQ34" s="447" t="e">
        <f t="shared" si="70"/>
        <v>#REF!</v>
      </c>
      <c r="AR34" s="447" t="e">
        <f t="shared" si="71"/>
        <v>#REF!</v>
      </c>
      <c r="AS34" s="447" t="e">
        <f t="shared" si="72"/>
        <v>#REF!</v>
      </c>
      <c r="AT34" s="447" t="e">
        <f t="shared" ca="1" si="73"/>
        <v>#NAME?</v>
      </c>
      <c r="AU34" s="447" t="e">
        <f t="shared" si="74"/>
        <v>#REF!</v>
      </c>
      <c r="AV34" s="447" t="e">
        <f t="shared" si="75"/>
        <v>#REF!</v>
      </c>
      <c r="AW34" s="447" t="e">
        <f t="shared" si="76"/>
        <v>#REF!</v>
      </c>
      <c r="AX34" s="447" t="e">
        <f t="shared" si="77"/>
        <v>#REF!</v>
      </c>
      <c r="AY34" s="447" t="e">
        <f t="shared" si="78"/>
        <v>#REF!</v>
      </c>
      <c r="AZ34" s="445" t="e">
        <f t="shared" si="79"/>
        <v>#REF!</v>
      </c>
      <c r="BA34" s="447" t="e">
        <f t="shared" ca="1" si="80"/>
        <v>#NAME?</v>
      </c>
      <c r="BB34" s="447" t="e">
        <f t="shared" ca="1" si="81"/>
        <v>#NAME?</v>
      </c>
      <c r="BC34" s="447" t="e">
        <f t="shared" si="82"/>
        <v>#REF!</v>
      </c>
      <c r="BD34" s="447" t="e">
        <f t="shared" si="83"/>
        <v>#REF!</v>
      </c>
      <c r="BE34" s="447" t="e">
        <f t="shared" si="84"/>
        <v>#REF!</v>
      </c>
      <c r="BF34" s="447" t="e">
        <f t="shared" si="85"/>
        <v>#REF!</v>
      </c>
      <c r="BG34" s="18"/>
      <c r="BH34" s="2" t="e">
        <f t="shared" ca="1" si="86"/>
        <v>#REF!</v>
      </c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</row>
    <row r="35" spans="1:76" x14ac:dyDescent="0.2">
      <c r="A35" s="560" t="s">
        <v>190</v>
      </c>
      <c r="B35" s="589" t="s">
        <v>521</v>
      </c>
      <c r="C35" s="584">
        <v>570.90551181102364</v>
      </c>
      <c r="D35" s="16"/>
      <c r="E35" s="17">
        <v>22.63</v>
      </c>
      <c r="F35" s="17">
        <v>0</v>
      </c>
      <c r="G35">
        <v>1507.64</v>
      </c>
      <c r="H35">
        <v>60</v>
      </c>
      <c r="I35">
        <v>780.58</v>
      </c>
      <c r="J35">
        <v>92</v>
      </c>
      <c r="K35" s="17">
        <v>40</v>
      </c>
      <c r="L35">
        <v>44.71</v>
      </c>
      <c r="M35">
        <v>1229.5899999999999</v>
      </c>
      <c r="N35" s="271">
        <v>0</v>
      </c>
      <c r="O35" s="271">
        <v>0</v>
      </c>
      <c r="P35">
        <v>65.11</v>
      </c>
      <c r="Q35">
        <v>65.14</v>
      </c>
      <c r="R35" s="58"/>
      <c r="S35" s="441">
        <f t="shared" si="58"/>
        <v>1590.2700000000002</v>
      </c>
      <c r="T35" s="441" t="e">
        <f t="shared" si="59"/>
        <v>#REF!</v>
      </c>
      <c r="U35" s="441" t="e">
        <f>MAX(U$29:U$30)+IF($B$2="mil",1,0.0254)*DDR2Specs!$B$3</f>
        <v>#REF!</v>
      </c>
      <c r="V35" s="441" t="e">
        <f>MIN(U$29:U$30)+IF($B$2="mil",1,0.0254)*DDR2Specs!$C$3</f>
        <v>#REF!</v>
      </c>
      <c r="W35" s="18"/>
      <c r="X35" s="534" t="e">
        <f t="shared" si="60"/>
        <v>#REF!</v>
      </c>
      <c r="Y35" s="447" t="e">
        <f t="shared" si="61"/>
        <v>#REF!</v>
      </c>
      <c r="Z35" s="18"/>
      <c r="AA35" s="441">
        <f t="shared" si="62"/>
        <v>3782.2600000000007</v>
      </c>
      <c r="AB35" s="441" t="e">
        <f t="shared" si="63"/>
        <v>#REF!</v>
      </c>
      <c r="AC35" s="441" t="e">
        <f>MAX(AC$29:AC$30)+IF($B$2="mil",1,0.0254)*DDR2Specs!$E$3</f>
        <v>#REF!</v>
      </c>
      <c r="AD35" s="441" t="e">
        <f>MIN(AC$29:AC$30)+IF($B$2="mil",1,0.0254)*DDR2Specs!$F$3</f>
        <v>#REF!</v>
      </c>
      <c r="AE35" s="18"/>
      <c r="AF35" s="534" t="e">
        <f t="shared" si="64"/>
        <v>#REF!</v>
      </c>
      <c r="AG35" s="447" t="e">
        <f t="shared" si="65"/>
        <v>#REF!</v>
      </c>
      <c r="AH35" s="18"/>
      <c r="AI35" s="441">
        <f t="shared" si="66"/>
        <v>3782.2900000000004</v>
      </c>
      <c r="AJ35" s="441" t="e">
        <f t="shared" si="67"/>
        <v>#REF!</v>
      </c>
      <c r="AK35" s="441" t="e">
        <f>MAX(AK$29:AK$30)+IF($B$2="mil",1,0.0254)*DDR2Specs!$E$3</f>
        <v>#REF!</v>
      </c>
      <c r="AL35" s="441" t="e">
        <f>MIN(AK$29:AK$30)+IF($B$2="mil",1,0.0254)*DDR2Specs!$F$3</f>
        <v>#REF!</v>
      </c>
      <c r="AM35" s="18"/>
      <c r="AN35" s="534" t="e">
        <f t="shared" si="68"/>
        <v>#REF!</v>
      </c>
      <c r="AO35" s="447" t="e">
        <f t="shared" si="69"/>
        <v>#REF!</v>
      </c>
      <c r="AP35" s="18"/>
      <c r="AQ35" s="447" t="e">
        <f t="shared" si="70"/>
        <v>#REF!</v>
      </c>
      <c r="AR35" s="447" t="e">
        <f t="shared" si="71"/>
        <v>#REF!</v>
      </c>
      <c r="AS35" s="447" t="e">
        <f t="shared" si="72"/>
        <v>#REF!</v>
      </c>
      <c r="AT35" s="447" t="e">
        <f t="shared" ca="1" si="73"/>
        <v>#NAME?</v>
      </c>
      <c r="AU35" s="447" t="e">
        <f t="shared" si="74"/>
        <v>#REF!</v>
      </c>
      <c r="AV35" s="447" t="e">
        <f t="shared" si="75"/>
        <v>#REF!</v>
      </c>
      <c r="AW35" s="447" t="e">
        <f t="shared" si="76"/>
        <v>#REF!</v>
      </c>
      <c r="AX35" s="447" t="e">
        <f t="shared" si="77"/>
        <v>#REF!</v>
      </c>
      <c r="AY35" s="447" t="e">
        <f t="shared" si="78"/>
        <v>#REF!</v>
      </c>
      <c r="AZ35" s="445" t="e">
        <f t="shared" si="79"/>
        <v>#REF!</v>
      </c>
      <c r="BA35" s="447" t="e">
        <f t="shared" ca="1" si="80"/>
        <v>#NAME?</v>
      </c>
      <c r="BB35" s="447" t="e">
        <f t="shared" ca="1" si="81"/>
        <v>#NAME?</v>
      </c>
      <c r="BC35" s="447" t="e">
        <f t="shared" si="82"/>
        <v>#REF!</v>
      </c>
      <c r="BD35" s="447" t="e">
        <f t="shared" si="83"/>
        <v>#REF!</v>
      </c>
      <c r="BE35" s="447" t="e">
        <f t="shared" si="84"/>
        <v>#REF!</v>
      </c>
      <c r="BF35" s="447" t="e">
        <f t="shared" si="85"/>
        <v>#REF!</v>
      </c>
      <c r="BG35" s="18"/>
      <c r="BH35" s="2" t="e">
        <f t="shared" ca="1" si="86"/>
        <v>#REF!</v>
      </c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</row>
    <row r="36" spans="1:76" x14ac:dyDescent="0.2">
      <c r="A36" s="560" t="s">
        <v>191</v>
      </c>
      <c r="B36" s="589" t="s">
        <v>397</v>
      </c>
      <c r="C36" s="584">
        <v>498.14960629921262</v>
      </c>
      <c r="D36" s="16"/>
      <c r="E36" s="17">
        <v>22.63</v>
      </c>
      <c r="F36" s="17">
        <v>0</v>
      </c>
      <c r="G36">
        <v>1620.12</v>
      </c>
      <c r="H36">
        <v>20</v>
      </c>
      <c r="I36">
        <v>773.45</v>
      </c>
      <c r="J36">
        <v>96.14</v>
      </c>
      <c r="K36" s="17">
        <v>40</v>
      </c>
      <c r="L36">
        <v>85.78</v>
      </c>
      <c r="M36">
        <v>1188.45</v>
      </c>
      <c r="N36" s="271">
        <v>0</v>
      </c>
      <c r="O36" s="271">
        <v>0</v>
      </c>
      <c r="P36">
        <v>22.3</v>
      </c>
      <c r="Q36">
        <v>22.27</v>
      </c>
      <c r="R36" s="58"/>
      <c r="S36" s="441">
        <f t="shared" si="58"/>
        <v>1662.75</v>
      </c>
      <c r="T36" s="441" t="e">
        <f t="shared" si="59"/>
        <v>#REF!</v>
      </c>
      <c r="U36" s="441" t="e">
        <f>MAX(U$29:U$30)+IF($B$2="mil",1,0.0254)*DDR2Specs!$B$3</f>
        <v>#REF!</v>
      </c>
      <c r="V36" s="441" t="e">
        <f>MIN(U$29:U$30)+IF($B$2="mil",1,0.0254)*DDR2Specs!$C$3</f>
        <v>#REF!</v>
      </c>
      <c r="W36" s="18"/>
      <c r="X36" s="534" t="e">
        <f t="shared" si="60"/>
        <v>#REF!</v>
      </c>
      <c r="Y36" s="447" t="e">
        <f t="shared" si="61"/>
        <v>#REF!</v>
      </c>
      <c r="Z36" s="18"/>
      <c r="AA36" s="441">
        <f t="shared" si="62"/>
        <v>3848.87</v>
      </c>
      <c r="AB36" s="441" t="e">
        <f t="shared" si="63"/>
        <v>#REF!</v>
      </c>
      <c r="AC36" s="441" t="e">
        <f>MAX(AC$29:AC$30)+IF($B$2="mil",1,0.0254)*DDR2Specs!$E$3</f>
        <v>#REF!</v>
      </c>
      <c r="AD36" s="441" t="e">
        <f>MIN(AC$29:AC$30)+IF($B$2="mil",1,0.0254)*DDR2Specs!$F$3</f>
        <v>#REF!</v>
      </c>
      <c r="AE36" s="18"/>
      <c r="AF36" s="534" t="e">
        <f t="shared" si="64"/>
        <v>#REF!</v>
      </c>
      <c r="AG36" s="447" t="e">
        <f t="shared" si="65"/>
        <v>#REF!</v>
      </c>
      <c r="AH36" s="18"/>
      <c r="AI36" s="441">
        <f t="shared" si="66"/>
        <v>3848.8399999999997</v>
      </c>
      <c r="AJ36" s="441" t="e">
        <f t="shared" si="67"/>
        <v>#REF!</v>
      </c>
      <c r="AK36" s="441" t="e">
        <f>MAX(AK$29:AK$30)+IF($B$2="mil",1,0.0254)*DDR2Specs!$E$3</f>
        <v>#REF!</v>
      </c>
      <c r="AL36" s="441" t="e">
        <f>MIN(AK$29:AK$30)+IF($B$2="mil",1,0.0254)*DDR2Specs!$F$3</f>
        <v>#REF!</v>
      </c>
      <c r="AM36" s="18"/>
      <c r="AN36" s="534" t="e">
        <f t="shared" si="68"/>
        <v>#REF!</v>
      </c>
      <c r="AO36" s="447" t="e">
        <f t="shared" si="69"/>
        <v>#REF!</v>
      </c>
      <c r="AP36" s="18"/>
      <c r="AQ36" s="447" t="e">
        <f t="shared" si="70"/>
        <v>#REF!</v>
      </c>
      <c r="AR36" s="447" t="e">
        <f t="shared" si="71"/>
        <v>#REF!</v>
      </c>
      <c r="AS36" s="447" t="e">
        <f t="shared" si="72"/>
        <v>#REF!</v>
      </c>
      <c r="AT36" s="447" t="e">
        <f t="shared" ca="1" si="73"/>
        <v>#NAME?</v>
      </c>
      <c r="AU36" s="447" t="e">
        <f t="shared" si="74"/>
        <v>#REF!</v>
      </c>
      <c r="AV36" s="447" t="e">
        <f t="shared" si="75"/>
        <v>#REF!</v>
      </c>
      <c r="AW36" s="447" t="e">
        <f t="shared" si="76"/>
        <v>#REF!</v>
      </c>
      <c r="AX36" s="447" t="e">
        <f t="shared" si="77"/>
        <v>#REF!</v>
      </c>
      <c r="AY36" s="447" t="e">
        <f t="shared" si="78"/>
        <v>#REF!</v>
      </c>
      <c r="AZ36" s="445" t="e">
        <f t="shared" si="79"/>
        <v>#REF!</v>
      </c>
      <c r="BA36" s="447" t="e">
        <f t="shared" ca="1" si="80"/>
        <v>#NAME?</v>
      </c>
      <c r="BB36" s="447" t="e">
        <f t="shared" ca="1" si="81"/>
        <v>#NAME?</v>
      </c>
      <c r="BC36" s="447" t="e">
        <f t="shared" si="82"/>
        <v>#REF!</v>
      </c>
      <c r="BD36" s="447" t="e">
        <f t="shared" si="83"/>
        <v>#REF!</v>
      </c>
      <c r="BE36" s="447" t="e">
        <f t="shared" si="84"/>
        <v>#REF!</v>
      </c>
      <c r="BF36" s="447" t="e">
        <f t="shared" si="85"/>
        <v>#REF!</v>
      </c>
      <c r="BG36" s="18"/>
      <c r="BH36" s="2" t="e">
        <f t="shared" ca="1" si="86"/>
        <v>#REF!</v>
      </c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</row>
    <row r="37" spans="1:76" x14ac:dyDescent="0.2">
      <c r="A37" s="560" t="s">
        <v>192</v>
      </c>
      <c r="B37" s="589" t="s">
        <v>395</v>
      </c>
      <c r="C37" s="584">
        <v>466.29921259842519</v>
      </c>
      <c r="D37" s="16"/>
      <c r="E37" s="17">
        <v>22.63</v>
      </c>
      <c r="F37" s="17">
        <v>0</v>
      </c>
      <c r="G37">
        <v>1653.76</v>
      </c>
      <c r="H37">
        <v>20</v>
      </c>
      <c r="I37">
        <v>829.71</v>
      </c>
      <c r="J37">
        <v>44.57</v>
      </c>
      <c r="K37" s="17">
        <v>40</v>
      </c>
      <c r="L37">
        <v>85.78</v>
      </c>
      <c r="M37">
        <v>1176.25</v>
      </c>
      <c r="N37" s="271">
        <v>0</v>
      </c>
      <c r="O37" s="271">
        <v>0</v>
      </c>
      <c r="P37">
        <v>25.06</v>
      </c>
      <c r="Q37">
        <v>25.09</v>
      </c>
      <c r="R37" s="58"/>
      <c r="S37" s="441">
        <f t="shared" si="58"/>
        <v>1696.39</v>
      </c>
      <c r="T37" s="441" t="e">
        <f t="shared" si="59"/>
        <v>#REF!</v>
      </c>
      <c r="U37" s="441" t="e">
        <f>MAX(U$29:U$30)+IF($B$2="mil",1,0.0254)*DDR2Specs!$B$3</f>
        <v>#REF!</v>
      </c>
      <c r="V37" s="441" t="e">
        <f>MIN(U$29:U$30)+IF($B$2="mil",1,0.0254)*DDR2Specs!$C$3</f>
        <v>#REF!</v>
      </c>
      <c r="W37" s="18"/>
      <c r="X37" s="534" t="e">
        <f t="shared" si="60"/>
        <v>#REF!</v>
      </c>
      <c r="Y37" s="447" t="e">
        <f t="shared" si="61"/>
        <v>#REF!</v>
      </c>
      <c r="Z37" s="18"/>
      <c r="AA37" s="441">
        <f t="shared" si="62"/>
        <v>3877.7600000000007</v>
      </c>
      <c r="AB37" s="441" t="e">
        <f t="shared" si="63"/>
        <v>#REF!</v>
      </c>
      <c r="AC37" s="441" t="e">
        <f>MAX(AC$29:AC$30)+IF($B$2="mil",1,0.0254)*DDR2Specs!$E$3</f>
        <v>#REF!</v>
      </c>
      <c r="AD37" s="441" t="e">
        <f>MIN(AC$29:AC$30)+IF($B$2="mil",1,0.0254)*DDR2Specs!$F$3</f>
        <v>#REF!</v>
      </c>
      <c r="AE37" s="18"/>
      <c r="AF37" s="534" t="e">
        <f t="shared" si="64"/>
        <v>#REF!</v>
      </c>
      <c r="AG37" s="447" t="e">
        <f t="shared" si="65"/>
        <v>#REF!</v>
      </c>
      <c r="AH37" s="18"/>
      <c r="AI37" s="441">
        <f t="shared" si="66"/>
        <v>3877.7900000000009</v>
      </c>
      <c r="AJ37" s="441" t="e">
        <f t="shared" si="67"/>
        <v>#REF!</v>
      </c>
      <c r="AK37" s="441" t="e">
        <f>MAX(AK$29:AK$30)+IF($B$2="mil",1,0.0254)*DDR2Specs!$E$3</f>
        <v>#REF!</v>
      </c>
      <c r="AL37" s="441" t="e">
        <f>MIN(AK$29:AK$30)+IF($B$2="mil",1,0.0254)*DDR2Specs!$F$3</f>
        <v>#REF!</v>
      </c>
      <c r="AM37" s="18"/>
      <c r="AN37" s="534" t="e">
        <f t="shared" si="68"/>
        <v>#REF!</v>
      </c>
      <c r="AO37" s="447" t="e">
        <f t="shared" si="69"/>
        <v>#REF!</v>
      </c>
      <c r="AP37" s="18"/>
      <c r="AQ37" s="447" t="e">
        <f t="shared" si="70"/>
        <v>#REF!</v>
      </c>
      <c r="AR37" s="447" t="e">
        <f t="shared" si="71"/>
        <v>#REF!</v>
      </c>
      <c r="AS37" s="447" t="e">
        <f t="shared" si="72"/>
        <v>#REF!</v>
      </c>
      <c r="AT37" s="447" t="e">
        <f t="shared" ca="1" si="73"/>
        <v>#NAME?</v>
      </c>
      <c r="AU37" s="447" t="e">
        <f t="shared" si="74"/>
        <v>#REF!</v>
      </c>
      <c r="AV37" s="447" t="e">
        <f t="shared" si="75"/>
        <v>#REF!</v>
      </c>
      <c r="AW37" s="447" t="e">
        <f t="shared" si="76"/>
        <v>#REF!</v>
      </c>
      <c r="AX37" s="447" t="e">
        <f t="shared" si="77"/>
        <v>#REF!</v>
      </c>
      <c r="AY37" s="447" t="e">
        <f t="shared" si="78"/>
        <v>#REF!</v>
      </c>
      <c r="AZ37" s="445" t="e">
        <f t="shared" si="79"/>
        <v>#REF!</v>
      </c>
      <c r="BA37" s="447" t="e">
        <f t="shared" ca="1" si="80"/>
        <v>#NAME?</v>
      </c>
      <c r="BB37" s="447" t="e">
        <f t="shared" ca="1" si="81"/>
        <v>#NAME?</v>
      </c>
      <c r="BC37" s="447" t="e">
        <f t="shared" si="82"/>
        <v>#REF!</v>
      </c>
      <c r="BD37" s="447" t="e">
        <f t="shared" si="83"/>
        <v>#REF!</v>
      </c>
      <c r="BE37" s="447" t="e">
        <f t="shared" si="84"/>
        <v>#REF!</v>
      </c>
      <c r="BF37" s="447" t="e">
        <f t="shared" si="85"/>
        <v>#REF!</v>
      </c>
      <c r="BG37" s="18"/>
      <c r="BH37" s="2" t="e">
        <f t="shared" ca="1" si="86"/>
        <v>#REF!</v>
      </c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</row>
    <row r="38" spans="1:76" x14ac:dyDescent="0.2">
      <c r="A38" s="560" t="s">
        <v>193</v>
      </c>
      <c r="B38" s="589" t="s">
        <v>402</v>
      </c>
      <c r="C38" s="584">
        <v>475.51181102362204</v>
      </c>
      <c r="D38" s="16"/>
      <c r="E38" s="17">
        <v>22.6</v>
      </c>
      <c r="F38" s="17">
        <v>0</v>
      </c>
      <c r="G38">
        <v>1658</v>
      </c>
      <c r="H38">
        <v>0</v>
      </c>
      <c r="I38">
        <v>769.98</v>
      </c>
      <c r="J38">
        <v>85.78</v>
      </c>
      <c r="K38" s="17">
        <v>40</v>
      </c>
      <c r="L38">
        <v>70</v>
      </c>
      <c r="M38">
        <v>1193.22</v>
      </c>
      <c r="N38" s="271">
        <v>0</v>
      </c>
      <c r="O38" s="271">
        <v>0</v>
      </c>
      <c r="P38">
        <v>29.47</v>
      </c>
      <c r="Q38">
        <v>35.630000000000003</v>
      </c>
      <c r="R38" s="58"/>
      <c r="S38" s="441">
        <f t="shared" si="58"/>
        <v>1680.6</v>
      </c>
      <c r="T38" s="441" t="e">
        <f t="shared" si="59"/>
        <v>#REF!</v>
      </c>
      <c r="U38" s="441" t="e">
        <f>MAX(U$29:U$30)+IF($B$2="mil",1,0.0254)*DDR2Specs!$B$3</f>
        <v>#REF!</v>
      </c>
      <c r="V38" s="441" t="e">
        <f>MIN(U$29:U$30)+IF($B$2="mil",1,0.0254)*DDR2Specs!$C$3</f>
        <v>#REF!</v>
      </c>
      <c r="W38" s="18"/>
      <c r="X38" s="534" t="e">
        <f t="shared" si="60"/>
        <v>#REF!</v>
      </c>
      <c r="Y38" s="447" t="e">
        <f t="shared" si="61"/>
        <v>#REF!</v>
      </c>
      <c r="Z38" s="18"/>
      <c r="AA38" s="441">
        <f t="shared" si="62"/>
        <v>3869.0499999999997</v>
      </c>
      <c r="AB38" s="441" t="e">
        <f t="shared" si="63"/>
        <v>#REF!</v>
      </c>
      <c r="AC38" s="441" t="e">
        <f>MAX(AC$29:AC$30)+IF($B$2="mil",1,0.0254)*DDR2Specs!$E$3</f>
        <v>#REF!</v>
      </c>
      <c r="AD38" s="441" t="e">
        <f>MIN(AC$29:AC$30)+IF($B$2="mil",1,0.0254)*DDR2Specs!$F$3</f>
        <v>#REF!</v>
      </c>
      <c r="AE38" s="18"/>
      <c r="AF38" s="534" t="e">
        <f t="shared" si="64"/>
        <v>#REF!</v>
      </c>
      <c r="AG38" s="447" t="e">
        <f t="shared" si="65"/>
        <v>#REF!</v>
      </c>
      <c r="AH38" s="18"/>
      <c r="AI38" s="441">
        <f t="shared" si="66"/>
        <v>3875.21</v>
      </c>
      <c r="AJ38" s="441" t="e">
        <f t="shared" si="67"/>
        <v>#REF!</v>
      </c>
      <c r="AK38" s="441" t="e">
        <f>MAX(AK$29:AK$30)+IF($B$2="mil",1,0.0254)*DDR2Specs!$E$3</f>
        <v>#REF!</v>
      </c>
      <c r="AL38" s="441" t="e">
        <f>MIN(AK$29:AK$30)+IF($B$2="mil",1,0.0254)*DDR2Specs!$F$3</f>
        <v>#REF!</v>
      </c>
      <c r="AM38" s="18"/>
      <c r="AN38" s="534" t="e">
        <f t="shared" si="68"/>
        <v>#REF!</v>
      </c>
      <c r="AO38" s="447" t="e">
        <f t="shared" si="69"/>
        <v>#REF!</v>
      </c>
      <c r="AP38" s="18"/>
      <c r="AQ38" s="447" t="e">
        <f t="shared" si="70"/>
        <v>#REF!</v>
      </c>
      <c r="AR38" s="447" t="e">
        <f t="shared" si="71"/>
        <v>#REF!</v>
      </c>
      <c r="AS38" s="447" t="e">
        <f t="shared" si="72"/>
        <v>#REF!</v>
      </c>
      <c r="AT38" s="447" t="e">
        <f t="shared" ca="1" si="73"/>
        <v>#NAME?</v>
      </c>
      <c r="AU38" s="447" t="e">
        <f t="shared" si="74"/>
        <v>#REF!</v>
      </c>
      <c r="AV38" s="447" t="e">
        <f t="shared" si="75"/>
        <v>#REF!</v>
      </c>
      <c r="AW38" s="447" t="e">
        <f t="shared" si="76"/>
        <v>#REF!</v>
      </c>
      <c r="AX38" s="447" t="e">
        <f t="shared" si="77"/>
        <v>#REF!</v>
      </c>
      <c r="AY38" s="447" t="e">
        <f t="shared" si="78"/>
        <v>#REF!</v>
      </c>
      <c r="AZ38" s="445" t="e">
        <f t="shared" si="79"/>
        <v>#REF!</v>
      </c>
      <c r="BA38" s="447" t="e">
        <f t="shared" ca="1" si="80"/>
        <v>#NAME?</v>
      </c>
      <c r="BB38" s="447" t="e">
        <f t="shared" ca="1" si="81"/>
        <v>#NAME?</v>
      </c>
      <c r="BC38" s="447" t="e">
        <f t="shared" si="82"/>
        <v>#REF!</v>
      </c>
      <c r="BD38" s="447" t="e">
        <f t="shared" si="83"/>
        <v>#REF!</v>
      </c>
      <c r="BE38" s="447" t="e">
        <f t="shared" si="84"/>
        <v>#REF!</v>
      </c>
      <c r="BF38" s="447" t="e">
        <f t="shared" si="85"/>
        <v>#REF!</v>
      </c>
      <c r="BG38" s="18"/>
      <c r="BH38" s="2" t="e">
        <f t="shared" ca="1" si="86"/>
        <v>#REF!</v>
      </c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</row>
    <row r="39" spans="1:76" x14ac:dyDescent="0.2">
      <c r="A39" s="560" t="s">
        <v>194</v>
      </c>
      <c r="B39" s="590" t="s">
        <v>555</v>
      </c>
      <c r="C39" s="584">
        <v>464.48818897637796</v>
      </c>
      <c r="D39" s="16"/>
      <c r="E39" s="17">
        <v>22.63</v>
      </c>
      <c r="F39" s="17">
        <v>0</v>
      </c>
      <c r="G39">
        <v>1650.71</v>
      </c>
      <c r="H39">
        <v>20</v>
      </c>
      <c r="I39">
        <v>840.12</v>
      </c>
      <c r="J39">
        <v>29.57</v>
      </c>
      <c r="K39" s="17">
        <v>40</v>
      </c>
      <c r="L39">
        <v>44.57</v>
      </c>
      <c r="M39">
        <v>1190.24</v>
      </c>
      <c r="N39" s="271">
        <v>0</v>
      </c>
      <c r="O39" s="271">
        <v>0</v>
      </c>
      <c r="P39">
        <v>69.19</v>
      </c>
      <c r="Q39">
        <v>70.81</v>
      </c>
      <c r="R39" s="58"/>
      <c r="S39" s="441">
        <f t="shared" si="58"/>
        <v>1693.3400000000001</v>
      </c>
      <c r="T39" s="441" t="e">
        <f t="shared" si="59"/>
        <v>#REF!</v>
      </c>
      <c r="U39" s="441" t="e">
        <f>MAX(U$29:U$30)+IF($B$2="mil",1,0.0254)*DDR2Specs!$B$3</f>
        <v>#REF!</v>
      </c>
      <c r="V39" s="441" t="e">
        <f>MIN(U$29:U$30)+IF($B$2="mil",1,0.0254)*DDR2Specs!$C$3</f>
        <v>#REF!</v>
      </c>
      <c r="W39" s="18"/>
      <c r="X39" s="534" t="e">
        <f t="shared" si="60"/>
        <v>#REF!</v>
      </c>
      <c r="Y39" s="447" t="e">
        <f t="shared" si="61"/>
        <v>#REF!</v>
      </c>
      <c r="Z39" s="18"/>
      <c r="AA39" s="441">
        <f t="shared" si="62"/>
        <v>3887.03</v>
      </c>
      <c r="AB39" s="441" t="e">
        <f t="shared" si="63"/>
        <v>#REF!</v>
      </c>
      <c r="AC39" s="441" t="e">
        <f>MAX(AC$29:AC$30)+IF($B$2="mil",1,0.0254)*DDR2Specs!$E$3</f>
        <v>#REF!</v>
      </c>
      <c r="AD39" s="441" t="e">
        <f>MIN(AC$29:AC$30)+IF($B$2="mil",1,0.0254)*DDR2Specs!$F$3</f>
        <v>#REF!</v>
      </c>
      <c r="AE39" s="18"/>
      <c r="AF39" s="534" t="e">
        <f t="shared" si="64"/>
        <v>#REF!</v>
      </c>
      <c r="AG39" s="447" t="e">
        <f t="shared" si="65"/>
        <v>#REF!</v>
      </c>
      <c r="AH39" s="18"/>
      <c r="AI39" s="441">
        <f t="shared" si="66"/>
        <v>3888.65</v>
      </c>
      <c r="AJ39" s="441" t="e">
        <f t="shared" si="67"/>
        <v>#REF!</v>
      </c>
      <c r="AK39" s="441" t="e">
        <f>MAX(AK$29:AK$30)+IF($B$2="mil",1,0.0254)*DDR2Specs!$E$3</f>
        <v>#REF!</v>
      </c>
      <c r="AL39" s="441" t="e">
        <f>MIN(AK$29:AK$30)+IF($B$2="mil",1,0.0254)*DDR2Specs!$F$3</f>
        <v>#REF!</v>
      </c>
      <c r="AM39" s="18"/>
      <c r="AN39" s="534" t="e">
        <f t="shared" si="68"/>
        <v>#REF!</v>
      </c>
      <c r="AO39" s="447" t="e">
        <f t="shared" si="69"/>
        <v>#REF!</v>
      </c>
      <c r="AP39" s="18"/>
      <c r="AQ39" s="447" t="e">
        <f t="shared" si="70"/>
        <v>#REF!</v>
      </c>
      <c r="AR39" s="447" t="e">
        <f t="shared" si="71"/>
        <v>#REF!</v>
      </c>
      <c r="AS39" s="447" t="e">
        <f t="shared" si="72"/>
        <v>#REF!</v>
      </c>
      <c r="AT39" s="447" t="e">
        <f t="shared" ca="1" si="73"/>
        <v>#NAME?</v>
      </c>
      <c r="AU39" s="447" t="e">
        <f t="shared" si="74"/>
        <v>#REF!</v>
      </c>
      <c r="AV39" s="447" t="e">
        <f t="shared" si="75"/>
        <v>#REF!</v>
      </c>
      <c r="AW39" s="447" t="e">
        <f t="shared" si="76"/>
        <v>#REF!</v>
      </c>
      <c r="AX39" s="447" t="e">
        <f t="shared" si="77"/>
        <v>#REF!</v>
      </c>
      <c r="AY39" s="447" t="e">
        <f t="shared" si="78"/>
        <v>#REF!</v>
      </c>
      <c r="AZ39" s="445" t="e">
        <f t="shared" si="79"/>
        <v>#REF!</v>
      </c>
      <c r="BA39" s="447" t="e">
        <f t="shared" ca="1" si="80"/>
        <v>#NAME?</v>
      </c>
      <c r="BB39" s="447" t="e">
        <f t="shared" ca="1" si="81"/>
        <v>#NAME?</v>
      </c>
      <c r="BC39" s="447" t="e">
        <f t="shared" si="82"/>
        <v>#REF!</v>
      </c>
      <c r="BD39" s="447" t="e">
        <f t="shared" si="83"/>
        <v>#REF!</v>
      </c>
      <c r="BE39" s="447" t="e">
        <f t="shared" si="84"/>
        <v>#REF!</v>
      </c>
      <c r="BF39" s="447" t="e">
        <f t="shared" si="85"/>
        <v>#REF!</v>
      </c>
      <c r="BG39" s="18"/>
      <c r="BH39" s="2" t="e">
        <f t="shared" ca="1" si="86"/>
        <v>#REF!</v>
      </c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</row>
    <row r="40" spans="1:76" x14ac:dyDescent="0.2">
      <c r="A40" s="563" t="s">
        <v>248</v>
      </c>
      <c r="B40" s="591"/>
      <c r="C40" s="585"/>
      <c r="D40" s="51"/>
      <c r="E40" s="68"/>
      <c r="F40" s="68"/>
      <c r="G40" s="394"/>
      <c r="H40" s="265"/>
      <c r="I40" s="265"/>
      <c r="J40" s="265"/>
      <c r="K40" s="265"/>
      <c r="L40" s="265"/>
      <c r="M40" s="265"/>
      <c r="N40" s="265"/>
      <c r="O40" s="265"/>
      <c r="P40" s="265"/>
      <c r="Q40" s="265"/>
      <c r="R40" s="8"/>
      <c r="S40" s="68"/>
      <c r="T40" s="539"/>
      <c r="U40" s="539"/>
      <c r="V40" s="540"/>
      <c r="W40" s="540"/>
      <c r="X40" s="541"/>
      <c r="Y40" s="15"/>
      <c r="Z40" s="540"/>
      <c r="AA40" s="68"/>
      <c r="AB40" s="539"/>
      <c r="AC40" s="539"/>
      <c r="AD40" s="540"/>
      <c r="AE40" s="540"/>
      <c r="AF40" s="541"/>
      <c r="AG40" s="15"/>
      <c r="AH40" s="540"/>
      <c r="AI40" s="68"/>
      <c r="AJ40" s="539"/>
      <c r="AK40" s="539"/>
      <c r="AL40" s="540"/>
      <c r="AM40" s="540"/>
      <c r="AN40" s="541"/>
      <c r="AO40" s="15"/>
      <c r="AP40" s="540"/>
      <c r="AQ40" s="15"/>
      <c r="AR40" s="15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69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</row>
    <row r="41" spans="1:76" x14ac:dyDescent="0.2">
      <c r="A41" s="576" t="str">
        <f>'DDR2 Strobes - 2x16_1R SODIMM'!$A$22</f>
        <v>SA_DQS3</v>
      </c>
      <c r="B41" s="592" t="str">
        <f>'DDR2 Strobes - 2x16_1R SODIMM'!$B$22</f>
        <v>AB21</v>
      </c>
      <c r="C41" s="586"/>
      <c r="D41" s="44"/>
      <c r="E41" s="67"/>
      <c r="F41" s="67"/>
      <c r="G41" s="602"/>
      <c r="H41" s="603"/>
      <c r="I41" s="603"/>
      <c r="J41" s="603"/>
      <c r="K41" s="603"/>
      <c r="L41" s="603"/>
      <c r="M41" s="603"/>
      <c r="N41" s="603"/>
      <c r="O41" s="603"/>
      <c r="P41" s="603"/>
      <c r="Q41" s="603"/>
      <c r="R41" s="67"/>
      <c r="S41" s="67"/>
      <c r="T41" s="48"/>
      <c r="U41" s="48" t="e">
        <f>'DDR2 Strobes - 2x16_1R SODIMM'!$U$22</f>
        <v>#REF!</v>
      </c>
      <c r="V41" s="48"/>
      <c r="W41" s="48"/>
      <c r="X41" s="48"/>
      <c r="Y41" s="542"/>
      <c r="Z41" s="48"/>
      <c r="AA41" s="67"/>
      <c r="AB41" s="48"/>
      <c r="AC41" s="48" t="e">
        <f>'DDR2 Strobes - 2x16_1R SODIMM'!$AD$22</f>
        <v>#REF!</v>
      </c>
      <c r="AD41" s="48"/>
      <c r="AE41" s="48"/>
      <c r="AF41" s="48"/>
      <c r="AG41" s="542"/>
      <c r="AH41" s="48"/>
      <c r="AI41" s="67"/>
      <c r="AJ41" s="48"/>
      <c r="AK41" s="48" t="e">
        <f>'DDR2 Strobes - 2x16_1R SODIMM'!$AL$22</f>
        <v>#REF!</v>
      </c>
      <c r="AL41" s="48"/>
      <c r="AM41" s="48"/>
      <c r="AN41" s="48"/>
      <c r="AO41" s="542"/>
      <c r="AP41" s="48"/>
      <c r="AQ41" s="542"/>
      <c r="AR41" s="542"/>
      <c r="AS41" s="542"/>
      <c r="AT41" s="542"/>
      <c r="AU41" s="542"/>
      <c r="AV41" s="542"/>
      <c r="AW41" s="542"/>
      <c r="AX41" s="542"/>
      <c r="AY41" s="542"/>
      <c r="AZ41" s="542"/>
      <c r="BA41" s="542"/>
      <c r="BB41" s="542"/>
      <c r="BC41" s="542"/>
      <c r="BD41" s="542"/>
      <c r="BE41" s="542"/>
      <c r="BF41" s="542"/>
      <c r="BG41" s="48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</row>
    <row r="42" spans="1:76" x14ac:dyDescent="0.2">
      <c r="A42" s="576" t="str">
        <f>'DDR2 Strobes - 2x16_1R SODIMM'!$A$23</f>
        <v>SA_DQS3#</v>
      </c>
      <c r="B42" s="592" t="str">
        <f>'DDR2 Strobes - 2x16_1R SODIMM'!$B$23</f>
        <v>AB20</v>
      </c>
      <c r="C42" s="586"/>
      <c r="D42" s="44"/>
      <c r="E42" s="67"/>
      <c r="F42" s="67"/>
      <c r="G42" s="602"/>
      <c r="H42" s="603"/>
      <c r="I42" s="603"/>
      <c r="J42" s="603"/>
      <c r="K42" s="603"/>
      <c r="L42" s="603"/>
      <c r="M42" s="603"/>
      <c r="N42" s="603"/>
      <c r="O42" s="603"/>
      <c r="P42" s="603"/>
      <c r="Q42" s="603"/>
      <c r="R42" s="67"/>
      <c r="S42" s="67"/>
      <c r="T42" s="537"/>
      <c r="U42" s="48" t="e">
        <f>'DDR2 Strobes - 2x16_1R SODIMM'!$U$23</f>
        <v>#REF!</v>
      </c>
      <c r="V42" s="48"/>
      <c r="W42" s="48"/>
      <c r="X42" s="48"/>
      <c r="Y42" s="542"/>
      <c r="Z42" s="48"/>
      <c r="AA42" s="536"/>
      <c r="AB42" s="537"/>
      <c r="AC42" s="48" t="e">
        <f>'DDR2 Strobes - 2x16_1R SODIMM'!$AD$23</f>
        <v>#REF!</v>
      </c>
      <c r="AD42" s="48"/>
      <c r="AE42" s="48"/>
      <c r="AF42" s="48"/>
      <c r="AG42" s="542"/>
      <c r="AH42" s="48"/>
      <c r="AI42" s="536"/>
      <c r="AJ42" s="537"/>
      <c r="AK42" s="48" t="e">
        <f>'DDR2 Strobes - 2x16_1R SODIMM'!$AL$23</f>
        <v>#REF!</v>
      </c>
      <c r="AL42" s="48"/>
      <c r="AM42" s="48"/>
      <c r="AN42" s="48"/>
      <c r="AO42" s="542"/>
      <c r="AP42" s="48"/>
      <c r="AQ42" s="542"/>
      <c r="AR42" s="542"/>
      <c r="AS42" s="543"/>
      <c r="AT42" s="543"/>
      <c r="AU42" s="543"/>
      <c r="AV42" s="543"/>
      <c r="AW42" s="543"/>
      <c r="AX42" s="543"/>
      <c r="AY42" s="543"/>
      <c r="AZ42" s="543"/>
      <c r="BA42" s="543"/>
      <c r="BB42" s="543"/>
      <c r="BC42" s="543"/>
      <c r="BD42" s="543"/>
      <c r="BE42" s="543"/>
      <c r="BF42" s="543"/>
      <c r="BG42" s="48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</row>
    <row r="43" spans="1:76" x14ac:dyDescent="0.2">
      <c r="A43" s="560" t="s">
        <v>195</v>
      </c>
      <c r="B43" s="595" t="s">
        <v>522</v>
      </c>
      <c r="C43" s="584">
        <v>764.01574803149606</v>
      </c>
      <c r="D43" s="16"/>
      <c r="E43" s="17">
        <v>22.63</v>
      </c>
      <c r="F43" s="17">
        <v>0</v>
      </c>
      <c r="G43">
        <v>1260.83</v>
      </c>
      <c r="H43">
        <v>0</v>
      </c>
      <c r="I43">
        <v>700.29</v>
      </c>
      <c r="J43">
        <v>96.14</v>
      </c>
      <c r="K43" s="17">
        <v>40</v>
      </c>
      <c r="L43">
        <v>44.57</v>
      </c>
      <c r="M43">
        <v>960.33</v>
      </c>
      <c r="N43" s="271">
        <v>0</v>
      </c>
      <c r="O43" s="271">
        <v>0</v>
      </c>
      <c r="P43">
        <v>84.35</v>
      </c>
      <c r="Q43">
        <v>84.32</v>
      </c>
      <c r="R43" s="58"/>
      <c r="S43" s="441">
        <f t="shared" ref="S43:S51" si="87" xml:space="preserve"> E43+F43+G43+H43</f>
        <v>1283.46</v>
      </c>
      <c r="T43" s="441" t="e">
        <f t="shared" ref="T43:T51" si="88">S43+IF($B$2="mil",1,0.0254)*C43</f>
        <v>#REF!</v>
      </c>
      <c r="U43" s="441" t="e">
        <f>MAX(U$41:U$42)+IF($B$2="mil",1,0.0254)*DDR2Specs!$B$3</f>
        <v>#REF!</v>
      </c>
      <c r="V43" s="441" t="e">
        <f>MIN(U$41:U$42)+IF($B$2="mil",1,0.0254)*DDR2Specs!$C$3</f>
        <v>#REF!</v>
      </c>
      <c r="W43" s="18"/>
      <c r="X43" s="534" t="e">
        <f t="shared" ref="X43:X51" si="89">IF($T43&lt;$U43,$U43-$T43,"Pass")</f>
        <v>#REF!</v>
      </c>
      <c r="Y43" s="447" t="e">
        <f t="shared" ref="Y43:Y51" si="90">IF($T43&gt;$V43,$T43-$V43,"Pass")</f>
        <v>#REF!</v>
      </c>
      <c r="Z43" s="18"/>
      <c r="AA43" s="441">
        <f t="shared" ref="AA43:AA51" si="91">SUM(E43:G43,I43:N43,P43)</f>
        <v>3209.14</v>
      </c>
      <c r="AB43" s="441" t="e">
        <f t="shared" ref="AB43:AB51" si="92">AA43+IF($B$2="mil",1,0.0254)*$C43</f>
        <v>#REF!</v>
      </c>
      <c r="AC43" s="441" t="e">
        <f>MAX(AC$41:AC$42)+IF($B$2="mil",1,0.0254)*DDR2Specs!$E$3</f>
        <v>#REF!</v>
      </c>
      <c r="AD43" s="441" t="e">
        <f>MIN(AC$41:AC$42)+IF($B$2="mil",1,0.0254)*DDR2Specs!$F$3</f>
        <v>#REF!</v>
      </c>
      <c r="AE43" s="18"/>
      <c r="AF43" s="534" t="e">
        <f t="shared" ref="AF43:AF51" si="93">IF($AB43&lt;$AC43,$AC43-$AB43,"Pass")</f>
        <v>#REF!</v>
      </c>
      <c r="AG43" s="447" t="e">
        <f t="shared" ref="AG43:AG51" si="94">IF($AB43&gt;$AD43,$AB43-$AD43,"Pass")</f>
        <v>#REF!</v>
      </c>
      <c r="AH43" s="18"/>
      <c r="AI43" s="441">
        <f t="shared" ref="AI43:AI51" si="95">SUM(E43:G43,I43:M43,O43,Q43)</f>
        <v>3209.11</v>
      </c>
      <c r="AJ43" s="441" t="e">
        <f t="shared" ref="AJ43:AJ51" si="96">AI43+IF($B$2="mil",1,0.0254)*$C43</f>
        <v>#REF!</v>
      </c>
      <c r="AK43" s="441" t="e">
        <f>MAX(AK$41:AK$42)+IF($B$2="mil",1,0.0254)*DDR2Specs!$E$3</f>
        <v>#REF!</v>
      </c>
      <c r="AL43" s="441" t="e">
        <f>MIN(AK$41:AK$42)+IF($B$2="mil",1,0.0254)*DDR2Specs!$F$3</f>
        <v>#REF!</v>
      </c>
      <c r="AM43" s="18"/>
      <c r="AN43" s="534" t="e">
        <f t="shared" ref="AN43:AN51" si="97">IF($AJ43&lt;$AK43,$AK43-$AJ43,"Pass")</f>
        <v>#REF!</v>
      </c>
      <c r="AO43" s="447" t="e">
        <f t="shared" ref="AO43:AO51" si="98">IF($AJ43&gt;$AL43,$AJ43-$AL43,"Pass")</f>
        <v>#REF!</v>
      </c>
      <c r="AP43" s="18"/>
      <c r="AQ43" s="447" t="e">
        <f t="shared" ref="AQ43:AQ51" si="99">IF($E43&lt;=IF($B$2="mil",1,0.0254)*50,"Pass",IF($B$2="mil",1,0.0254)*50-$E43)</f>
        <v>#REF!</v>
      </c>
      <c r="AR43" s="447" t="e">
        <f t="shared" ref="AR43:AR51" si="100">IF($F43&lt;=IF($B$2="mil",1,0.0254)*500,"Pass",IF($B$2="mil",1,0.0254)*500-$F43)</f>
        <v>#REF!</v>
      </c>
      <c r="AS43" s="447" t="e">
        <f t="shared" ref="AS43:AS51" si="101">IF($H43&lt;=IF($B$2="mil",1,0.0254)*250,"Pass",IF($B$2="mil",1,0.0254)*250-$H43)</f>
        <v>#REF!</v>
      </c>
      <c r="AT43" s="447" t="e">
        <f t="shared" ref="AT43:AT51" ca="1" si="102">CheckLength(IF($B$2="mil",1,0.0254)*750, IF($B$2="mil",1,0.0254)*125-J43, 0, I43,J43,0)</f>
        <v>#NAME?</v>
      </c>
      <c r="AU43" s="447" t="e">
        <f t="shared" ref="AU43:AU51" si="103">IF($J43&lt;=IF($B$2="mil",1,0.0254)*125,"Pass",IF($B$2="mil",1,0.0254)*125-$J43)</f>
        <v>#REF!</v>
      </c>
      <c r="AV43" s="447" t="e">
        <f t="shared" ref="AV43:AV51" si="104">IF($L43&lt;=IF($B$2="mil",1,0.0254)*125,"Pass",IF($B$2="mil",1,0.0254)*125-$L43)</f>
        <v>#REF!</v>
      </c>
      <c r="AW43" s="447" t="e">
        <f t="shared" ref="AW43:AW51" si="105">IF(($L43+$M43)&lt;=IF($B$2="mil",1,0.0254)*1275,"Pass",IF($B$2="mil",1,0.0254)*1275-($L43+H43))</f>
        <v>#REF!</v>
      </c>
      <c r="AX43" s="447" t="e">
        <f t="shared" ref="AX43:AX51" si="106">IF($N43&lt;=IF($B$2="mil",1,0.0254)*150,"Pass",IF($B$2="mil",1,0.0254)*150-$N43)</f>
        <v>#REF!</v>
      </c>
      <c r="AY43" s="447" t="e">
        <f t="shared" ref="AY43:AY51" si="107">IF($O43&lt;=IF($B$2="mil",1,0.0254)*150,"Pass",IF($B$2="mil",1,0.0254)*150-$O43)</f>
        <v>#REF!</v>
      </c>
      <c r="AZ43" s="445" t="e">
        <f t="shared" ref="AZ43:AZ51" si="108">IF(MAX(N43:O43)-MIN(N43:O43)&lt;=IF($B$2="mil",1,0.0254)*50,"Pass",MAX(N43:O43)-MIN(N43:O43)-IF($B$2="mil",1,0.0254)*50)</f>
        <v>#REF!</v>
      </c>
      <c r="BA43" s="447" t="e">
        <f t="shared" ref="BA43:BA51" ca="1" si="109">CheckLength2(IF($B$2="mil",1,0.0254)*200,$P43,N43,0)</f>
        <v>#NAME?</v>
      </c>
      <c r="BB43" s="447" t="e">
        <f t="shared" ref="BB43:BB51" ca="1" si="110">CheckLength2(IF($B$2="mil",1,0.0254)*200,$Q43,O43,0)</f>
        <v>#NAME?</v>
      </c>
      <c r="BC43" s="447" t="e">
        <f t="shared" ref="BC43:BC51" si="111">IF(AND($S43&gt;=IF($B$2="mil",1,0.0254)*500, $S43&lt;=IF($B$2="mil",1,0.0254)*4000),"Pass",IF($B$2="mil",1,0.0254)*4000-$S43)</f>
        <v>#REF!</v>
      </c>
      <c r="BD43" s="447" t="e">
        <f t="shared" ref="BD43:BD51" si="112">IF(AND($T43&gt;=IF($B$2="mil",1,0.0254)*500, $T43&lt;=IF($B$2="mil",1,0.0254)*4500),"Pass",IF($B$2="mil",1,0.0254)*4500-$T43)</f>
        <v>#REF!</v>
      </c>
      <c r="BE43" s="447" t="e">
        <f t="shared" ref="BE43:BE51" si="113">IF(AND($AA43&gt;=IF($B$2="mil",1,0.0254)*500, $AA43&lt;=IF($B$2="mil",1,0.0254)*5500),"Pass",IF($B$2="mil",1,0.0254)*5500-$AA43)</f>
        <v>#REF!</v>
      </c>
      <c r="BF43" s="447" t="e">
        <f t="shared" ref="BF43:BF51" si="114">IF(AND($AB43&gt;=IF($B$2="mil",1,0.0254)*500, $AB43&lt;=IF($B$2="mil",1,0.0254)*6000),"Pass",IF($B$2="mil",1,0.0254)*6000-$AB43)</f>
        <v>#REF!</v>
      </c>
      <c r="BG43" s="18"/>
      <c r="BH43" s="2" t="e">
        <f t="shared" ref="BH43:BH51" ca="1" si="115">IF(AND(AN43="Pass",AO43="Pass",AQ43="Pass",BD43="Pass",AS43="Pass",AR43="Pass",BC43="Pass",X43="Pass",Y43="Pass",BB43="Pass",AW43="Pass",AX43="Pass",AY43="Pass",AZ43="Pass",BA43="Pass",AV43="Pass",AU43="Pass",AT43="Pass",AF43="Pass",AG43="Pass",BE43="Pass",BF43="Pass"),"Pass","Fail")</f>
        <v>#REF!</v>
      </c>
      <c r="BI43" s="2" t="e">
        <f ca="1">IF(AND(BH43="Pass",BH44="Pass",BH45="Pass",BH46="Pass",BH47="Pass",BH48="Pass",BH49="Pass",BH50="Pass",BH51="Pass"),"Pass","Fail")</f>
        <v>#REF!</v>
      </c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</row>
    <row r="44" spans="1:76" x14ac:dyDescent="0.2">
      <c r="A44" s="560" t="s">
        <v>196</v>
      </c>
      <c r="B44" s="589" t="s">
        <v>523</v>
      </c>
      <c r="C44" s="584">
        <v>725.94488188976379</v>
      </c>
      <c r="D44" s="16"/>
      <c r="E44" s="17">
        <v>22.63</v>
      </c>
      <c r="F44" s="17">
        <v>0</v>
      </c>
      <c r="G44">
        <v>1302.19</v>
      </c>
      <c r="H44">
        <v>0</v>
      </c>
      <c r="I44">
        <v>765.62</v>
      </c>
      <c r="J44">
        <v>44.57</v>
      </c>
      <c r="K44" s="17">
        <v>40</v>
      </c>
      <c r="L44">
        <v>44.57</v>
      </c>
      <c r="M44">
        <v>1004.63</v>
      </c>
      <c r="N44" s="271">
        <v>0</v>
      </c>
      <c r="O44" s="271">
        <v>0</v>
      </c>
      <c r="P44">
        <v>22.27</v>
      </c>
      <c r="Q44">
        <v>22.3</v>
      </c>
      <c r="R44" s="58"/>
      <c r="S44" s="441">
        <f t="shared" si="87"/>
        <v>1324.8200000000002</v>
      </c>
      <c r="T44" s="441" t="e">
        <f t="shared" si="88"/>
        <v>#REF!</v>
      </c>
      <c r="U44" s="441" t="e">
        <f>MAX(U$41:U$42)+IF($B$2="mil",1,0.0254)*DDR2Specs!$B$3</f>
        <v>#REF!</v>
      </c>
      <c r="V44" s="441" t="e">
        <f>MIN(U$41:U$42)+IF($B$2="mil",1,0.0254)*DDR2Specs!$C$3</f>
        <v>#REF!</v>
      </c>
      <c r="W44" s="18"/>
      <c r="X44" s="534" t="e">
        <f t="shared" si="89"/>
        <v>#REF!</v>
      </c>
      <c r="Y44" s="447" t="e">
        <f t="shared" si="90"/>
        <v>#REF!</v>
      </c>
      <c r="Z44" s="18"/>
      <c r="AA44" s="441">
        <f t="shared" si="91"/>
        <v>3246.4800000000005</v>
      </c>
      <c r="AB44" s="441" t="e">
        <f t="shared" si="92"/>
        <v>#REF!</v>
      </c>
      <c r="AC44" s="441" t="e">
        <f>MAX(AC$41:AC$42)+IF($B$2="mil",1,0.0254)*DDR2Specs!$E$3</f>
        <v>#REF!</v>
      </c>
      <c r="AD44" s="441" t="e">
        <f>MIN(AC$41:AC$42)+IF($B$2="mil",1,0.0254)*DDR2Specs!$F$3</f>
        <v>#REF!</v>
      </c>
      <c r="AE44" s="18"/>
      <c r="AF44" s="534" t="e">
        <f t="shared" si="93"/>
        <v>#REF!</v>
      </c>
      <c r="AG44" s="447" t="e">
        <f t="shared" si="94"/>
        <v>#REF!</v>
      </c>
      <c r="AH44" s="18"/>
      <c r="AI44" s="441">
        <f t="shared" si="95"/>
        <v>3246.5100000000007</v>
      </c>
      <c r="AJ44" s="441" t="e">
        <f t="shared" si="96"/>
        <v>#REF!</v>
      </c>
      <c r="AK44" s="441" t="e">
        <f>MAX(AK$41:AK$42)+IF($B$2="mil",1,0.0254)*DDR2Specs!$E$3</f>
        <v>#REF!</v>
      </c>
      <c r="AL44" s="441" t="e">
        <f>MIN(AK$41:AK$42)+IF($B$2="mil",1,0.0254)*DDR2Specs!$F$3</f>
        <v>#REF!</v>
      </c>
      <c r="AM44" s="18"/>
      <c r="AN44" s="534" t="e">
        <f t="shared" si="97"/>
        <v>#REF!</v>
      </c>
      <c r="AO44" s="447" t="e">
        <f t="shared" si="98"/>
        <v>#REF!</v>
      </c>
      <c r="AP44" s="18"/>
      <c r="AQ44" s="447" t="e">
        <f t="shared" si="99"/>
        <v>#REF!</v>
      </c>
      <c r="AR44" s="447" t="e">
        <f t="shared" si="100"/>
        <v>#REF!</v>
      </c>
      <c r="AS44" s="447" t="e">
        <f t="shared" si="101"/>
        <v>#REF!</v>
      </c>
      <c r="AT44" s="447" t="e">
        <f t="shared" ca="1" si="102"/>
        <v>#NAME?</v>
      </c>
      <c r="AU44" s="447" t="e">
        <f t="shared" si="103"/>
        <v>#REF!</v>
      </c>
      <c r="AV44" s="447" t="e">
        <f t="shared" si="104"/>
        <v>#REF!</v>
      </c>
      <c r="AW44" s="447" t="e">
        <f t="shared" si="105"/>
        <v>#REF!</v>
      </c>
      <c r="AX44" s="447" t="e">
        <f t="shared" si="106"/>
        <v>#REF!</v>
      </c>
      <c r="AY44" s="447" t="e">
        <f t="shared" si="107"/>
        <v>#REF!</v>
      </c>
      <c r="AZ44" s="445" t="e">
        <f t="shared" si="108"/>
        <v>#REF!</v>
      </c>
      <c r="BA44" s="447" t="e">
        <f t="shared" ca="1" si="109"/>
        <v>#NAME?</v>
      </c>
      <c r="BB44" s="447" t="e">
        <f t="shared" ca="1" si="110"/>
        <v>#NAME?</v>
      </c>
      <c r="BC44" s="447" t="e">
        <f t="shared" si="111"/>
        <v>#REF!</v>
      </c>
      <c r="BD44" s="447" t="e">
        <f t="shared" si="112"/>
        <v>#REF!</v>
      </c>
      <c r="BE44" s="447" t="e">
        <f t="shared" si="113"/>
        <v>#REF!</v>
      </c>
      <c r="BF44" s="447" t="e">
        <f t="shared" si="114"/>
        <v>#REF!</v>
      </c>
      <c r="BG44" s="18"/>
      <c r="BH44" s="2" t="e">
        <f t="shared" ca="1" si="115"/>
        <v>#REF!</v>
      </c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</row>
    <row r="45" spans="1:76" x14ac:dyDescent="0.2">
      <c r="A45" s="560" t="s">
        <v>197</v>
      </c>
      <c r="B45" s="589" t="s">
        <v>396</v>
      </c>
      <c r="C45" s="584">
        <v>793.66141732283461</v>
      </c>
      <c r="D45" s="16"/>
      <c r="E45" s="17">
        <v>22.63</v>
      </c>
      <c r="F45" s="17">
        <v>0</v>
      </c>
      <c r="G45">
        <v>1230.69</v>
      </c>
      <c r="H45">
        <v>0</v>
      </c>
      <c r="I45">
        <v>763.62</v>
      </c>
      <c r="J45">
        <v>44.57</v>
      </c>
      <c r="K45" s="17">
        <v>40</v>
      </c>
      <c r="L45">
        <v>85.78</v>
      </c>
      <c r="M45">
        <v>958.18</v>
      </c>
      <c r="N45" s="271">
        <v>0</v>
      </c>
      <c r="O45" s="271">
        <v>0</v>
      </c>
      <c r="P45">
        <v>32.28</v>
      </c>
      <c r="Q45">
        <v>32.31</v>
      </c>
      <c r="R45" s="58"/>
      <c r="S45" s="441">
        <f t="shared" si="87"/>
        <v>1253.3200000000002</v>
      </c>
      <c r="T45" s="441" t="e">
        <f t="shared" si="88"/>
        <v>#REF!</v>
      </c>
      <c r="U45" s="441" t="e">
        <f>MAX(U$41:U$42)+IF($B$2="mil",1,0.0254)*DDR2Specs!$B$3</f>
        <v>#REF!</v>
      </c>
      <c r="V45" s="441" t="e">
        <f>MIN(U$41:U$42)+IF($B$2="mil",1,0.0254)*DDR2Specs!$C$3</f>
        <v>#REF!</v>
      </c>
      <c r="W45" s="18"/>
      <c r="X45" s="534" t="e">
        <f t="shared" si="89"/>
        <v>#REF!</v>
      </c>
      <c r="Y45" s="447" t="e">
        <f t="shared" si="90"/>
        <v>#REF!</v>
      </c>
      <c r="Z45" s="18"/>
      <c r="AA45" s="441">
        <f t="shared" si="91"/>
        <v>3177.7500000000005</v>
      </c>
      <c r="AB45" s="441" t="e">
        <f t="shared" si="92"/>
        <v>#REF!</v>
      </c>
      <c r="AC45" s="441" t="e">
        <f>MAX(AC$41:AC$42)+IF($B$2="mil",1,0.0254)*DDR2Specs!$E$3</f>
        <v>#REF!</v>
      </c>
      <c r="AD45" s="441" t="e">
        <f>MIN(AC$41:AC$42)+IF($B$2="mil",1,0.0254)*DDR2Specs!$F$3</f>
        <v>#REF!</v>
      </c>
      <c r="AE45" s="18"/>
      <c r="AF45" s="534" t="e">
        <f t="shared" si="93"/>
        <v>#REF!</v>
      </c>
      <c r="AG45" s="447" t="e">
        <f t="shared" si="94"/>
        <v>#REF!</v>
      </c>
      <c r="AH45" s="18"/>
      <c r="AI45" s="441">
        <f t="shared" si="95"/>
        <v>3177.78</v>
      </c>
      <c r="AJ45" s="441" t="e">
        <f t="shared" si="96"/>
        <v>#REF!</v>
      </c>
      <c r="AK45" s="441" t="e">
        <f>MAX(AK$41:AK$42)+IF($B$2="mil",1,0.0254)*DDR2Specs!$E$3</f>
        <v>#REF!</v>
      </c>
      <c r="AL45" s="441" t="e">
        <f>MIN(AK$41:AK$42)+IF($B$2="mil",1,0.0254)*DDR2Specs!$F$3</f>
        <v>#REF!</v>
      </c>
      <c r="AM45" s="18"/>
      <c r="AN45" s="534" t="e">
        <f t="shared" si="97"/>
        <v>#REF!</v>
      </c>
      <c r="AO45" s="447" t="e">
        <f t="shared" si="98"/>
        <v>#REF!</v>
      </c>
      <c r="AP45" s="18"/>
      <c r="AQ45" s="447" t="e">
        <f t="shared" si="99"/>
        <v>#REF!</v>
      </c>
      <c r="AR45" s="447" t="e">
        <f t="shared" si="100"/>
        <v>#REF!</v>
      </c>
      <c r="AS45" s="447" t="e">
        <f t="shared" si="101"/>
        <v>#REF!</v>
      </c>
      <c r="AT45" s="447" t="e">
        <f t="shared" ca="1" si="102"/>
        <v>#NAME?</v>
      </c>
      <c r="AU45" s="447" t="e">
        <f t="shared" si="103"/>
        <v>#REF!</v>
      </c>
      <c r="AV45" s="447" t="e">
        <f t="shared" si="104"/>
        <v>#REF!</v>
      </c>
      <c r="AW45" s="447" t="e">
        <f t="shared" si="105"/>
        <v>#REF!</v>
      </c>
      <c r="AX45" s="447" t="e">
        <f t="shared" si="106"/>
        <v>#REF!</v>
      </c>
      <c r="AY45" s="447" t="e">
        <f t="shared" si="107"/>
        <v>#REF!</v>
      </c>
      <c r="AZ45" s="445" t="e">
        <f t="shared" si="108"/>
        <v>#REF!</v>
      </c>
      <c r="BA45" s="447" t="e">
        <f t="shared" ca="1" si="109"/>
        <v>#NAME?</v>
      </c>
      <c r="BB45" s="447" t="e">
        <f t="shared" ca="1" si="110"/>
        <v>#NAME?</v>
      </c>
      <c r="BC45" s="447" t="e">
        <f t="shared" si="111"/>
        <v>#REF!</v>
      </c>
      <c r="BD45" s="447" t="e">
        <f t="shared" si="112"/>
        <v>#REF!</v>
      </c>
      <c r="BE45" s="447" t="e">
        <f t="shared" si="113"/>
        <v>#REF!</v>
      </c>
      <c r="BF45" s="447" t="e">
        <f t="shared" si="114"/>
        <v>#REF!</v>
      </c>
      <c r="BG45" s="18"/>
      <c r="BH45" s="2" t="e">
        <f t="shared" ca="1" si="115"/>
        <v>#REF!</v>
      </c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</row>
    <row r="46" spans="1:76" x14ac:dyDescent="0.2">
      <c r="A46" s="560" t="s">
        <v>198</v>
      </c>
      <c r="B46" s="589" t="s">
        <v>401</v>
      </c>
      <c r="C46" s="584">
        <v>909.6062992125984</v>
      </c>
      <c r="D46" s="16"/>
      <c r="E46" s="17">
        <v>22.63</v>
      </c>
      <c r="F46" s="17">
        <v>0</v>
      </c>
      <c r="G46">
        <v>1110.02</v>
      </c>
      <c r="H46">
        <v>10</v>
      </c>
      <c r="I46">
        <v>718.59</v>
      </c>
      <c r="J46">
        <v>85.78</v>
      </c>
      <c r="K46" s="17">
        <v>40</v>
      </c>
      <c r="L46">
        <v>44.57</v>
      </c>
      <c r="M46">
        <v>1010.54</v>
      </c>
      <c r="N46" s="271">
        <v>0</v>
      </c>
      <c r="O46" s="271">
        <v>0</v>
      </c>
      <c r="P46">
        <v>31.4</v>
      </c>
      <c r="Q46">
        <v>31.37</v>
      </c>
      <c r="R46" s="58"/>
      <c r="S46" s="441">
        <f t="shared" si="87"/>
        <v>1142.6500000000001</v>
      </c>
      <c r="T46" s="441" t="e">
        <f t="shared" si="88"/>
        <v>#REF!</v>
      </c>
      <c r="U46" s="441" t="e">
        <f>MAX(U$41:U$42)+IF($B$2="mil",1,0.0254)*DDR2Specs!$B$3</f>
        <v>#REF!</v>
      </c>
      <c r="V46" s="441" t="e">
        <f>MIN(U$41:U$42)+IF($B$2="mil",1,0.0254)*DDR2Specs!$C$3</f>
        <v>#REF!</v>
      </c>
      <c r="W46" s="18"/>
      <c r="X46" s="534" t="e">
        <f t="shared" si="89"/>
        <v>#REF!</v>
      </c>
      <c r="Y46" s="447" t="e">
        <f t="shared" si="90"/>
        <v>#REF!</v>
      </c>
      <c r="Z46" s="18"/>
      <c r="AA46" s="441">
        <f t="shared" si="91"/>
        <v>3063.53</v>
      </c>
      <c r="AB46" s="441" t="e">
        <f t="shared" si="92"/>
        <v>#REF!</v>
      </c>
      <c r="AC46" s="441" t="e">
        <f>MAX(AC$41:AC$42)+IF($B$2="mil",1,0.0254)*DDR2Specs!$E$3</f>
        <v>#REF!</v>
      </c>
      <c r="AD46" s="441" t="e">
        <f>MIN(AC$41:AC$42)+IF($B$2="mil",1,0.0254)*DDR2Specs!$F$3</f>
        <v>#REF!</v>
      </c>
      <c r="AE46" s="18"/>
      <c r="AF46" s="534" t="e">
        <f t="shared" si="93"/>
        <v>#REF!</v>
      </c>
      <c r="AG46" s="447" t="e">
        <f t="shared" si="94"/>
        <v>#REF!</v>
      </c>
      <c r="AH46" s="18"/>
      <c r="AI46" s="441">
        <f t="shared" si="95"/>
        <v>3063.5</v>
      </c>
      <c r="AJ46" s="441" t="e">
        <f t="shared" si="96"/>
        <v>#REF!</v>
      </c>
      <c r="AK46" s="441" t="e">
        <f>MAX(AK$41:AK$42)+IF($B$2="mil",1,0.0254)*DDR2Specs!$E$3</f>
        <v>#REF!</v>
      </c>
      <c r="AL46" s="441" t="e">
        <f>MIN(AK$41:AK$42)+IF($B$2="mil",1,0.0254)*DDR2Specs!$F$3</f>
        <v>#REF!</v>
      </c>
      <c r="AM46" s="18"/>
      <c r="AN46" s="534" t="e">
        <f t="shared" si="97"/>
        <v>#REF!</v>
      </c>
      <c r="AO46" s="447" t="e">
        <f t="shared" si="98"/>
        <v>#REF!</v>
      </c>
      <c r="AP46" s="18"/>
      <c r="AQ46" s="447" t="e">
        <f t="shared" si="99"/>
        <v>#REF!</v>
      </c>
      <c r="AR46" s="447" t="e">
        <f t="shared" si="100"/>
        <v>#REF!</v>
      </c>
      <c r="AS46" s="447" t="e">
        <f t="shared" si="101"/>
        <v>#REF!</v>
      </c>
      <c r="AT46" s="447" t="e">
        <f t="shared" ca="1" si="102"/>
        <v>#NAME?</v>
      </c>
      <c r="AU46" s="447" t="e">
        <f t="shared" si="103"/>
        <v>#REF!</v>
      </c>
      <c r="AV46" s="447" t="e">
        <f t="shared" si="104"/>
        <v>#REF!</v>
      </c>
      <c r="AW46" s="447" t="e">
        <f t="shared" si="105"/>
        <v>#REF!</v>
      </c>
      <c r="AX46" s="447" t="e">
        <f t="shared" si="106"/>
        <v>#REF!</v>
      </c>
      <c r="AY46" s="447" t="e">
        <f t="shared" si="107"/>
        <v>#REF!</v>
      </c>
      <c r="AZ46" s="445" t="e">
        <f t="shared" si="108"/>
        <v>#REF!</v>
      </c>
      <c r="BA46" s="447" t="e">
        <f t="shared" ca="1" si="109"/>
        <v>#NAME?</v>
      </c>
      <c r="BB46" s="447" t="e">
        <f t="shared" ca="1" si="110"/>
        <v>#NAME?</v>
      </c>
      <c r="BC46" s="447" t="e">
        <f t="shared" si="111"/>
        <v>#REF!</v>
      </c>
      <c r="BD46" s="447" t="e">
        <f t="shared" si="112"/>
        <v>#REF!</v>
      </c>
      <c r="BE46" s="447" t="e">
        <f t="shared" si="113"/>
        <v>#REF!</v>
      </c>
      <c r="BF46" s="447" t="e">
        <f t="shared" si="114"/>
        <v>#REF!</v>
      </c>
      <c r="BG46" s="18"/>
      <c r="BH46" s="2" t="e">
        <f t="shared" ca="1" si="115"/>
        <v>#REF!</v>
      </c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</row>
    <row r="47" spans="1:76" x14ac:dyDescent="0.2">
      <c r="A47" s="560" t="s">
        <v>199</v>
      </c>
      <c r="B47" s="589" t="s">
        <v>398</v>
      </c>
      <c r="C47" s="584">
        <v>749.6062992125984</v>
      </c>
      <c r="D47" s="16"/>
      <c r="E47" s="17">
        <v>22.63</v>
      </c>
      <c r="F47" s="17">
        <v>0</v>
      </c>
      <c r="G47">
        <v>1236.55</v>
      </c>
      <c r="H47">
        <v>30</v>
      </c>
      <c r="I47">
        <v>738.31</v>
      </c>
      <c r="J47">
        <v>44.57</v>
      </c>
      <c r="K47" s="17">
        <v>40</v>
      </c>
      <c r="L47">
        <v>85.78</v>
      </c>
      <c r="M47">
        <v>1040.77</v>
      </c>
      <c r="N47" s="271">
        <v>0</v>
      </c>
      <c r="O47" s="271">
        <v>0</v>
      </c>
      <c r="P47">
        <v>22.27</v>
      </c>
      <c r="Q47">
        <v>24.29</v>
      </c>
      <c r="R47" s="58"/>
      <c r="S47" s="441">
        <f t="shared" si="87"/>
        <v>1289.18</v>
      </c>
      <c r="T47" s="441" t="e">
        <f t="shared" si="88"/>
        <v>#REF!</v>
      </c>
      <c r="U47" s="441" t="e">
        <f>MAX(U$41:U$42)+IF($B$2="mil",1,0.0254)*DDR2Specs!$B$3</f>
        <v>#REF!</v>
      </c>
      <c r="V47" s="441" t="e">
        <f>MIN(U$41:U$42)+IF($B$2="mil",1,0.0254)*DDR2Specs!$C$3</f>
        <v>#REF!</v>
      </c>
      <c r="W47" s="18"/>
      <c r="X47" s="534" t="e">
        <f t="shared" si="89"/>
        <v>#REF!</v>
      </c>
      <c r="Y47" s="447" t="e">
        <f t="shared" si="90"/>
        <v>#REF!</v>
      </c>
      <c r="Z47" s="18"/>
      <c r="AA47" s="441">
        <f t="shared" si="91"/>
        <v>3230.88</v>
      </c>
      <c r="AB47" s="441" t="e">
        <f t="shared" si="92"/>
        <v>#REF!</v>
      </c>
      <c r="AC47" s="441" t="e">
        <f>MAX(AC$41:AC$42)+IF($B$2="mil",1,0.0254)*DDR2Specs!$E$3</f>
        <v>#REF!</v>
      </c>
      <c r="AD47" s="441" t="e">
        <f>MIN(AC$41:AC$42)+IF($B$2="mil",1,0.0254)*DDR2Specs!$F$3</f>
        <v>#REF!</v>
      </c>
      <c r="AE47" s="18"/>
      <c r="AF47" s="534" t="e">
        <f t="shared" si="93"/>
        <v>#REF!</v>
      </c>
      <c r="AG47" s="447" t="e">
        <f t="shared" si="94"/>
        <v>#REF!</v>
      </c>
      <c r="AH47" s="18"/>
      <c r="AI47" s="441">
        <f t="shared" si="95"/>
        <v>3232.9</v>
      </c>
      <c r="AJ47" s="441" t="e">
        <f t="shared" si="96"/>
        <v>#REF!</v>
      </c>
      <c r="AK47" s="441" t="e">
        <f>MAX(AK$41:AK$42)+IF($B$2="mil",1,0.0254)*DDR2Specs!$E$3</f>
        <v>#REF!</v>
      </c>
      <c r="AL47" s="441" t="e">
        <f>MIN(AK$41:AK$42)+IF($B$2="mil",1,0.0254)*DDR2Specs!$F$3</f>
        <v>#REF!</v>
      </c>
      <c r="AM47" s="18"/>
      <c r="AN47" s="534" t="e">
        <f t="shared" si="97"/>
        <v>#REF!</v>
      </c>
      <c r="AO47" s="447" t="e">
        <f t="shared" si="98"/>
        <v>#REF!</v>
      </c>
      <c r="AP47" s="18"/>
      <c r="AQ47" s="447" t="e">
        <f t="shared" si="99"/>
        <v>#REF!</v>
      </c>
      <c r="AR47" s="447" t="e">
        <f t="shared" si="100"/>
        <v>#REF!</v>
      </c>
      <c r="AS47" s="447" t="e">
        <f t="shared" si="101"/>
        <v>#REF!</v>
      </c>
      <c r="AT47" s="447" t="e">
        <f t="shared" ca="1" si="102"/>
        <v>#NAME?</v>
      </c>
      <c r="AU47" s="447" t="e">
        <f t="shared" si="103"/>
        <v>#REF!</v>
      </c>
      <c r="AV47" s="447" t="e">
        <f t="shared" si="104"/>
        <v>#REF!</v>
      </c>
      <c r="AW47" s="447" t="e">
        <f t="shared" si="105"/>
        <v>#REF!</v>
      </c>
      <c r="AX47" s="447" t="e">
        <f t="shared" si="106"/>
        <v>#REF!</v>
      </c>
      <c r="AY47" s="447" t="e">
        <f t="shared" si="107"/>
        <v>#REF!</v>
      </c>
      <c r="AZ47" s="445" t="e">
        <f t="shared" si="108"/>
        <v>#REF!</v>
      </c>
      <c r="BA47" s="447" t="e">
        <f t="shared" ca="1" si="109"/>
        <v>#NAME?</v>
      </c>
      <c r="BB47" s="447" t="e">
        <f t="shared" ca="1" si="110"/>
        <v>#NAME?</v>
      </c>
      <c r="BC47" s="447" t="e">
        <f t="shared" si="111"/>
        <v>#REF!</v>
      </c>
      <c r="BD47" s="447" t="e">
        <f t="shared" si="112"/>
        <v>#REF!</v>
      </c>
      <c r="BE47" s="447" t="e">
        <f t="shared" si="113"/>
        <v>#REF!</v>
      </c>
      <c r="BF47" s="447" t="e">
        <f t="shared" si="114"/>
        <v>#REF!</v>
      </c>
      <c r="BG47" s="18"/>
      <c r="BH47" s="2" t="e">
        <f t="shared" ca="1" si="115"/>
        <v>#REF!</v>
      </c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</row>
    <row r="48" spans="1:76" x14ac:dyDescent="0.2">
      <c r="A48" s="560" t="s">
        <v>200</v>
      </c>
      <c r="B48" s="595" t="s">
        <v>524</v>
      </c>
      <c r="C48" s="584">
        <v>808.70078740157487</v>
      </c>
      <c r="D48" s="16"/>
      <c r="E48" s="17">
        <v>22.63</v>
      </c>
      <c r="F48" s="17">
        <v>0</v>
      </c>
      <c r="G48">
        <v>1180.1099999999999</v>
      </c>
      <c r="H48">
        <v>30</v>
      </c>
      <c r="I48">
        <v>753.05</v>
      </c>
      <c r="J48">
        <v>85.78</v>
      </c>
      <c r="K48" s="17">
        <v>40</v>
      </c>
      <c r="L48">
        <v>44.57</v>
      </c>
      <c r="M48">
        <v>998.44</v>
      </c>
      <c r="N48" s="271">
        <v>0</v>
      </c>
      <c r="O48" s="271">
        <v>0</v>
      </c>
      <c r="P48">
        <v>44.7</v>
      </c>
      <c r="Q48">
        <v>44.67</v>
      </c>
      <c r="R48" s="58"/>
      <c r="S48" s="441">
        <f t="shared" si="87"/>
        <v>1232.74</v>
      </c>
      <c r="T48" s="441" t="e">
        <f t="shared" si="88"/>
        <v>#REF!</v>
      </c>
      <c r="U48" s="441" t="e">
        <f>MAX(U$41:U$42)+IF($B$2="mil",1,0.0254)*DDR2Specs!$B$3</f>
        <v>#REF!</v>
      </c>
      <c r="V48" s="441" t="e">
        <f>MIN(U$41:U$42)+IF($B$2="mil",1,0.0254)*DDR2Specs!$C$3</f>
        <v>#REF!</v>
      </c>
      <c r="W48" s="18"/>
      <c r="X48" s="534" t="e">
        <f t="shared" si="89"/>
        <v>#REF!</v>
      </c>
      <c r="Y48" s="447" t="e">
        <f t="shared" si="90"/>
        <v>#REF!</v>
      </c>
      <c r="Z48" s="18"/>
      <c r="AA48" s="441">
        <f t="shared" si="91"/>
        <v>3169.2799999999997</v>
      </c>
      <c r="AB48" s="441" t="e">
        <f t="shared" si="92"/>
        <v>#REF!</v>
      </c>
      <c r="AC48" s="441" t="e">
        <f>MAX(AC$41:AC$42)+IF($B$2="mil",1,0.0254)*DDR2Specs!$E$3</f>
        <v>#REF!</v>
      </c>
      <c r="AD48" s="441" t="e">
        <f>MIN(AC$41:AC$42)+IF($B$2="mil",1,0.0254)*DDR2Specs!$F$3</f>
        <v>#REF!</v>
      </c>
      <c r="AE48" s="18"/>
      <c r="AF48" s="534" t="e">
        <f t="shared" si="93"/>
        <v>#REF!</v>
      </c>
      <c r="AG48" s="447" t="e">
        <f t="shared" si="94"/>
        <v>#REF!</v>
      </c>
      <c r="AH48" s="18"/>
      <c r="AI48" s="441">
        <f t="shared" si="95"/>
        <v>3169.25</v>
      </c>
      <c r="AJ48" s="441" t="e">
        <f t="shared" si="96"/>
        <v>#REF!</v>
      </c>
      <c r="AK48" s="441" t="e">
        <f>MAX(AK$41:AK$42)+IF($B$2="mil",1,0.0254)*DDR2Specs!$E$3</f>
        <v>#REF!</v>
      </c>
      <c r="AL48" s="441" t="e">
        <f>MIN(AK$41:AK$42)+IF($B$2="mil",1,0.0254)*DDR2Specs!$F$3</f>
        <v>#REF!</v>
      </c>
      <c r="AM48" s="18"/>
      <c r="AN48" s="534" t="e">
        <f t="shared" si="97"/>
        <v>#REF!</v>
      </c>
      <c r="AO48" s="447" t="e">
        <f t="shared" si="98"/>
        <v>#REF!</v>
      </c>
      <c r="AP48" s="18"/>
      <c r="AQ48" s="447" t="e">
        <f t="shared" si="99"/>
        <v>#REF!</v>
      </c>
      <c r="AR48" s="447" t="e">
        <f t="shared" si="100"/>
        <v>#REF!</v>
      </c>
      <c r="AS48" s="447" t="e">
        <f t="shared" si="101"/>
        <v>#REF!</v>
      </c>
      <c r="AT48" s="447" t="e">
        <f t="shared" ca="1" si="102"/>
        <v>#NAME?</v>
      </c>
      <c r="AU48" s="447" t="e">
        <f t="shared" si="103"/>
        <v>#REF!</v>
      </c>
      <c r="AV48" s="447" t="e">
        <f t="shared" si="104"/>
        <v>#REF!</v>
      </c>
      <c r="AW48" s="447" t="e">
        <f t="shared" si="105"/>
        <v>#REF!</v>
      </c>
      <c r="AX48" s="447" t="e">
        <f t="shared" si="106"/>
        <v>#REF!</v>
      </c>
      <c r="AY48" s="447" t="e">
        <f t="shared" si="107"/>
        <v>#REF!</v>
      </c>
      <c r="AZ48" s="445" t="e">
        <f t="shared" si="108"/>
        <v>#REF!</v>
      </c>
      <c r="BA48" s="447" t="e">
        <f t="shared" ca="1" si="109"/>
        <v>#NAME?</v>
      </c>
      <c r="BB48" s="447" t="e">
        <f t="shared" ca="1" si="110"/>
        <v>#NAME?</v>
      </c>
      <c r="BC48" s="447" t="e">
        <f t="shared" si="111"/>
        <v>#REF!</v>
      </c>
      <c r="BD48" s="447" t="e">
        <f t="shared" si="112"/>
        <v>#REF!</v>
      </c>
      <c r="BE48" s="447" t="e">
        <f t="shared" si="113"/>
        <v>#REF!</v>
      </c>
      <c r="BF48" s="447" t="e">
        <f t="shared" si="114"/>
        <v>#REF!</v>
      </c>
      <c r="BG48" s="18"/>
      <c r="BH48" s="2" t="e">
        <f t="shared" ca="1" si="115"/>
        <v>#REF!</v>
      </c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</row>
    <row r="49" spans="1:76" x14ac:dyDescent="0.2">
      <c r="A49" s="560" t="s">
        <v>201</v>
      </c>
      <c r="B49" s="589" t="s">
        <v>525</v>
      </c>
      <c r="C49" s="584">
        <v>901.61417322834643</v>
      </c>
      <c r="D49" s="16"/>
      <c r="E49" s="17">
        <v>22.63</v>
      </c>
      <c r="F49" s="17">
        <v>0</v>
      </c>
      <c r="G49">
        <v>1092.5</v>
      </c>
      <c r="H49">
        <v>30</v>
      </c>
      <c r="I49">
        <v>790.79</v>
      </c>
      <c r="J49">
        <v>44.57</v>
      </c>
      <c r="K49" s="17">
        <v>40</v>
      </c>
      <c r="L49">
        <v>85.78</v>
      </c>
      <c r="M49">
        <v>897.89</v>
      </c>
      <c r="N49" s="271">
        <v>0</v>
      </c>
      <c r="O49" s="271">
        <v>0</v>
      </c>
      <c r="P49">
        <v>103.32</v>
      </c>
      <c r="Q49">
        <v>103.36</v>
      </c>
      <c r="R49" s="58"/>
      <c r="S49" s="441">
        <f t="shared" si="87"/>
        <v>1145.1300000000001</v>
      </c>
      <c r="T49" s="441" t="e">
        <f t="shared" si="88"/>
        <v>#REF!</v>
      </c>
      <c r="U49" s="441" t="e">
        <f>MAX(U$41:U$42)+IF($B$2="mil",1,0.0254)*DDR2Specs!$B$3</f>
        <v>#REF!</v>
      </c>
      <c r="V49" s="441" t="e">
        <f>MIN(U$41:U$42)+IF($B$2="mil",1,0.0254)*DDR2Specs!$C$3</f>
        <v>#REF!</v>
      </c>
      <c r="W49" s="18"/>
      <c r="X49" s="534" t="e">
        <f t="shared" si="89"/>
        <v>#REF!</v>
      </c>
      <c r="Y49" s="447" t="e">
        <f t="shared" si="90"/>
        <v>#REF!</v>
      </c>
      <c r="Z49" s="18"/>
      <c r="AA49" s="441">
        <f t="shared" si="91"/>
        <v>3077.48</v>
      </c>
      <c r="AB49" s="441" t="e">
        <f t="shared" si="92"/>
        <v>#REF!</v>
      </c>
      <c r="AC49" s="441" t="e">
        <f>MAX(AC$41:AC$42)+IF($B$2="mil",1,0.0254)*DDR2Specs!$E$3</f>
        <v>#REF!</v>
      </c>
      <c r="AD49" s="441" t="e">
        <f>MIN(AC$41:AC$42)+IF($B$2="mil",1,0.0254)*DDR2Specs!$F$3</f>
        <v>#REF!</v>
      </c>
      <c r="AE49" s="18"/>
      <c r="AF49" s="534" t="e">
        <f t="shared" si="93"/>
        <v>#REF!</v>
      </c>
      <c r="AG49" s="447" t="e">
        <f t="shared" si="94"/>
        <v>#REF!</v>
      </c>
      <c r="AH49" s="18"/>
      <c r="AI49" s="441">
        <f t="shared" si="95"/>
        <v>3077.52</v>
      </c>
      <c r="AJ49" s="441" t="e">
        <f t="shared" si="96"/>
        <v>#REF!</v>
      </c>
      <c r="AK49" s="441" t="e">
        <f>MAX(AK$41:AK$42)+IF($B$2="mil",1,0.0254)*DDR2Specs!$E$3</f>
        <v>#REF!</v>
      </c>
      <c r="AL49" s="441" t="e">
        <f>MIN(AK$41:AK$42)+IF($B$2="mil",1,0.0254)*DDR2Specs!$F$3</f>
        <v>#REF!</v>
      </c>
      <c r="AM49" s="18"/>
      <c r="AN49" s="534" t="e">
        <f t="shared" si="97"/>
        <v>#REF!</v>
      </c>
      <c r="AO49" s="447" t="e">
        <f t="shared" si="98"/>
        <v>#REF!</v>
      </c>
      <c r="AP49" s="18"/>
      <c r="AQ49" s="447" t="e">
        <f t="shared" si="99"/>
        <v>#REF!</v>
      </c>
      <c r="AR49" s="447" t="e">
        <f t="shared" si="100"/>
        <v>#REF!</v>
      </c>
      <c r="AS49" s="447" t="e">
        <f t="shared" si="101"/>
        <v>#REF!</v>
      </c>
      <c r="AT49" s="447" t="e">
        <f t="shared" ca="1" si="102"/>
        <v>#NAME?</v>
      </c>
      <c r="AU49" s="447" t="e">
        <f t="shared" si="103"/>
        <v>#REF!</v>
      </c>
      <c r="AV49" s="447" t="e">
        <f t="shared" si="104"/>
        <v>#REF!</v>
      </c>
      <c r="AW49" s="447" t="e">
        <f t="shared" si="105"/>
        <v>#REF!</v>
      </c>
      <c r="AX49" s="447" t="e">
        <f t="shared" si="106"/>
        <v>#REF!</v>
      </c>
      <c r="AY49" s="447" t="e">
        <f t="shared" si="107"/>
        <v>#REF!</v>
      </c>
      <c r="AZ49" s="445" t="e">
        <f t="shared" si="108"/>
        <v>#REF!</v>
      </c>
      <c r="BA49" s="447" t="e">
        <f t="shared" ca="1" si="109"/>
        <v>#NAME?</v>
      </c>
      <c r="BB49" s="447" t="e">
        <f t="shared" ca="1" si="110"/>
        <v>#NAME?</v>
      </c>
      <c r="BC49" s="447" t="e">
        <f t="shared" si="111"/>
        <v>#REF!</v>
      </c>
      <c r="BD49" s="447" t="e">
        <f t="shared" si="112"/>
        <v>#REF!</v>
      </c>
      <c r="BE49" s="447" t="e">
        <f t="shared" si="113"/>
        <v>#REF!</v>
      </c>
      <c r="BF49" s="447" t="e">
        <f t="shared" si="114"/>
        <v>#REF!</v>
      </c>
      <c r="BG49" s="18"/>
      <c r="BH49" s="2" t="e">
        <f t="shared" ca="1" si="115"/>
        <v>#REF!</v>
      </c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</row>
    <row r="50" spans="1:76" x14ac:dyDescent="0.2">
      <c r="A50" s="560" t="s">
        <v>202</v>
      </c>
      <c r="B50" s="589" t="s">
        <v>403</v>
      </c>
      <c r="C50" s="584">
        <v>894.17322834645665</v>
      </c>
      <c r="D50" s="16"/>
      <c r="E50" s="17">
        <v>22.63</v>
      </c>
      <c r="F50" s="17">
        <v>0</v>
      </c>
      <c r="G50">
        <v>1105.72</v>
      </c>
      <c r="H50">
        <v>30</v>
      </c>
      <c r="I50">
        <v>731.39</v>
      </c>
      <c r="J50">
        <v>85.78</v>
      </c>
      <c r="K50" s="17">
        <v>40</v>
      </c>
      <c r="L50">
        <v>44.57</v>
      </c>
      <c r="M50">
        <v>956.07</v>
      </c>
      <c r="N50" s="271">
        <v>0</v>
      </c>
      <c r="O50" s="271">
        <v>0</v>
      </c>
      <c r="P50">
        <v>94.03</v>
      </c>
      <c r="Q50">
        <v>95.46</v>
      </c>
      <c r="R50" s="58"/>
      <c r="S50" s="441">
        <f t="shared" si="87"/>
        <v>1158.3500000000001</v>
      </c>
      <c r="T50" s="441" t="e">
        <f t="shared" si="88"/>
        <v>#REF!</v>
      </c>
      <c r="U50" s="441" t="e">
        <f>MAX(U$41:U$42)+IF($B$2="mil",1,0.0254)*DDR2Specs!$B$3</f>
        <v>#REF!</v>
      </c>
      <c r="V50" s="441" t="e">
        <f>MIN(U$41:U$42)+IF($B$2="mil",1,0.0254)*DDR2Specs!$C$3</f>
        <v>#REF!</v>
      </c>
      <c r="W50" s="18"/>
      <c r="X50" s="534" t="e">
        <f t="shared" si="89"/>
        <v>#REF!</v>
      </c>
      <c r="Y50" s="447" t="e">
        <f t="shared" si="90"/>
        <v>#REF!</v>
      </c>
      <c r="Z50" s="18"/>
      <c r="AA50" s="441">
        <f t="shared" si="91"/>
        <v>3080.1900000000005</v>
      </c>
      <c r="AB50" s="441" t="e">
        <f t="shared" si="92"/>
        <v>#REF!</v>
      </c>
      <c r="AC50" s="441" t="e">
        <f>MAX(AC$41:AC$42)+IF($B$2="mil",1,0.0254)*DDR2Specs!$E$3</f>
        <v>#REF!</v>
      </c>
      <c r="AD50" s="441" t="e">
        <f>MIN(AC$41:AC$42)+IF($B$2="mil",1,0.0254)*DDR2Specs!$F$3</f>
        <v>#REF!</v>
      </c>
      <c r="AE50" s="18"/>
      <c r="AF50" s="534" t="e">
        <f t="shared" si="93"/>
        <v>#REF!</v>
      </c>
      <c r="AG50" s="447" t="e">
        <f t="shared" si="94"/>
        <v>#REF!</v>
      </c>
      <c r="AH50" s="18"/>
      <c r="AI50" s="441">
        <f t="shared" si="95"/>
        <v>3081.6200000000003</v>
      </c>
      <c r="AJ50" s="441" t="e">
        <f t="shared" si="96"/>
        <v>#REF!</v>
      </c>
      <c r="AK50" s="441" t="e">
        <f>MAX(AK$41:AK$42)+IF($B$2="mil",1,0.0254)*DDR2Specs!$E$3</f>
        <v>#REF!</v>
      </c>
      <c r="AL50" s="441" t="e">
        <f>MIN(AK$41:AK$42)+IF($B$2="mil",1,0.0254)*DDR2Specs!$F$3</f>
        <v>#REF!</v>
      </c>
      <c r="AM50" s="18"/>
      <c r="AN50" s="534" t="e">
        <f t="shared" si="97"/>
        <v>#REF!</v>
      </c>
      <c r="AO50" s="447" t="e">
        <f t="shared" si="98"/>
        <v>#REF!</v>
      </c>
      <c r="AP50" s="18"/>
      <c r="AQ50" s="447" t="e">
        <f t="shared" si="99"/>
        <v>#REF!</v>
      </c>
      <c r="AR50" s="447" t="e">
        <f t="shared" si="100"/>
        <v>#REF!</v>
      </c>
      <c r="AS50" s="447" t="e">
        <f t="shared" si="101"/>
        <v>#REF!</v>
      </c>
      <c r="AT50" s="447" t="e">
        <f t="shared" ca="1" si="102"/>
        <v>#NAME?</v>
      </c>
      <c r="AU50" s="447" t="e">
        <f t="shared" si="103"/>
        <v>#REF!</v>
      </c>
      <c r="AV50" s="447" t="e">
        <f t="shared" si="104"/>
        <v>#REF!</v>
      </c>
      <c r="AW50" s="447" t="e">
        <f t="shared" si="105"/>
        <v>#REF!</v>
      </c>
      <c r="AX50" s="447" t="e">
        <f t="shared" si="106"/>
        <v>#REF!</v>
      </c>
      <c r="AY50" s="447" t="e">
        <f t="shared" si="107"/>
        <v>#REF!</v>
      </c>
      <c r="AZ50" s="445" t="e">
        <f t="shared" si="108"/>
        <v>#REF!</v>
      </c>
      <c r="BA50" s="447" t="e">
        <f t="shared" ca="1" si="109"/>
        <v>#NAME?</v>
      </c>
      <c r="BB50" s="447" t="e">
        <f t="shared" ca="1" si="110"/>
        <v>#NAME?</v>
      </c>
      <c r="BC50" s="447" t="e">
        <f t="shared" si="111"/>
        <v>#REF!</v>
      </c>
      <c r="BD50" s="447" t="e">
        <f t="shared" si="112"/>
        <v>#REF!</v>
      </c>
      <c r="BE50" s="447" t="e">
        <f t="shared" si="113"/>
        <v>#REF!</v>
      </c>
      <c r="BF50" s="447" t="e">
        <f t="shared" si="114"/>
        <v>#REF!</v>
      </c>
      <c r="BG50" s="18"/>
      <c r="BH50" s="2" t="e">
        <f t="shared" ca="1" si="115"/>
        <v>#REF!</v>
      </c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</row>
    <row r="51" spans="1:76" x14ac:dyDescent="0.2">
      <c r="A51" s="560" t="s">
        <v>203</v>
      </c>
      <c r="B51" s="590" t="s">
        <v>556</v>
      </c>
      <c r="C51" s="584">
        <v>728.70078740157487</v>
      </c>
      <c r="D51" s="16"/>
      <c r="E51" s="17">
        <v>22.63</v>
      </c>
      <c r="F51" s="17">
        <v>0</v>
      </c>
      <c r="G51">
        <v>1272.19</v>
      </c>
      <c r="H51">
        <v>20</v>
      </c>
      <c r="I51">
        <v>721.48</v>
      </c>
      <c r="J51">
        <v>85.78</v>
      </c>
      <c r="K51" s="17">
        <v>40</v>
      </c>
      <c r="L51">
        <v>85.78</v>
      </c>
      <c r="M51">
        <v>949.23</v>
      </c>
      <c r="N51" s="271">
        <v>0</v>
      </c>
      <c r="O51" s="271">
        <v>0</v>
      </c>
      <c r="P51">
        <v>68.790000000000006</v>
      </c>
      <c r="Q51">
        <v>70.290000000000006</v>
      </c>
      <c r="R51" s="58"/>
      <c r="S51" s="441">
        <f t="shared" si="87"/>
        <v>1314.8200000000002</v>
      </c>
      <c r="T51" s="441" t="e">
        <f t="shared" si="88"/>
        <v>#REF!</v>
      </c>
      <c r="U51" s="441" t="e">
        <f>MAX(U$41:U$42)+IF($B$2="mil",1,0.0254)*DDR2Specs!$B$3</f>
        <v>#REF!</v>
      </c>
      <c r="V51" s="441" t="e">
        <f>MIN(U$41:U$42)+IF($B$2="mil",1,0.0254)*DDR2Specs!$C$3</f>
        <v>#REF!</v>
      </c>
      <c r="W51" s="18"/>
      <c r="X51" s="534" t="e">
        <f t="shared" si="89"/>
        <v>#REF!</v>
      </c>
      <c r="Y51" s="447" t="e">
        <f t="shared" si="90"/>
        <v>#REF!</v>
      </c>
      <c r="Z51" s="18"/>
      <c r="AA51" s="441">
        <f t="shared" si="91"/>
        <v>3245.8800000000006</v>
      </c>
      <c r="AB51" s="441" t="e">
        <f t="shared" si="92"/>
        <v>#REF!</v>
      </c>
      <c r="AC51" s="441" t="e">
        <f>MAX(AC$41:AC$42)+IF($B$2="mil",1,0.0254)*DDR2Specs!$E$3</f>
        <v>#REF!</v>
      </c>
      <c r="AD51" s="441" t="e">
        <f>MIN(AC$41:AC$42)+IF($B$2="mil",1,0.0254)*DDR2Specs!$F$3</f>
        <v>#REF!</v>
      </c>
      <c r="AE51" s="18"/>
      <c r="AF51" s="534" t="e">
        <f t="shared" si="93"/>
        <v>#REF!</v>
      </c>
      <c r="AG51" s="447" t="e">
        <f t="shared" si="94"/>
        <v>#REF!</v>
      </c>
      <c r="AH51" s="18"/>
      <c r="AI51" s="441">
        <f t="shared" si="95"/>
        <v>3247.3800000000006</v>
      </c>
      <c r="AJ51" s="441" t="e">
        <f t="shared" si="96"/>
        <v>#REF!</v>
      </c>
      <c r="AK51" s="441" t="e">
        <f>MAX(AK$41:AK$42)+IF($B$2="mil",1,0.0254)*DDR2Specs!$E$3</f>
        <v>#REF!</v>
      </c>
      <c r="AL51" s="441" t="e">
        <f>MIN(AK$41:AK$42)+IF($B$2="mil",1,0.0254)*DDR2Specs!$F$3</f>
        <v>#REF!</v>
      </c>
      <c r="AM51" s="18"/>
      <c r="AN51" s="534" t="e">
        <f t="shared" si="97"/>
        <v>#REF!</v>
      </c>
      <c r="AO51" s="447" t="e">
        <f t="shared" si="98"/>
        <v>#REF!</v>
      </c>
      <c r="AP51" s="18"/>
      <c r="AQ51" s="447" t="e">
        <f t="shared" si="99"/>
        <v>#REF!</v>
      </c>
      <c r="AR51" s="447" t="e">
        <f t="shared" si="100"/>
        <v>#REF!</v>
      </c>
      <c r="AS51" s="447" t="e">
        <f t="shared" si="101"/>
        <v>#REF!</v>
      </c>
      <c r="AT51" s="447" t="e">
        <f t="shared" ca="1" si="102"/>
        <v>#NAME?</v>
      </c>
      <c r="AU51" s="447" t="e">
        <f t="shared" si="103"/>
        <v>#REF!</v>
      </c>
      <c r="AV51" s="447" t="e">
        <f t="shared" si="104"/>
        <v>#REF!</v>
      </c>
      <c r="AW51" s="447" t="e">
        <f t="shared" si="105"/>
        <v>#REF!</v>
      </c>
      <c r="AX51" s="447" t="e">
        <f t="shared" si="106"/>
        <v>#REF!</v>
      </c>
      <c r="AY51" s="447" t="e">
        <f t="shared" si="107"/>
        <v>#REF!</v>
      </c>
      <c r="AZ51" s="445" t="e">
        <f t="shared" si="108"/>
        <v>#REF!</v>
      </c>
      <c r="BA51" s="447" t="e">
        <f t="shared" ca="1" si="109"/>
        <v>#NAME?</v>
      </c>
      <c r="BB51" s="447" t="e">
        <f t="shared" ca="1" si="110"/>
        <v>#NAME?</v>
      </c>
      <c r="BC51" s="447" t="e">
        <f t="shared" si="111"/>
        <v>#REF!</v>
      </c>
      <c r="BD51" s="447" t="e">
        <f t="shared" si="112"/>
        <v>#REF!</v>
      </c>
      <c r="BE51" s="447" t="e">
        <f t="shared" si="113"/>
        <v>#REF!</v>
      </c>
      <c r="BF51" s="447" t="e">
        <f t="shared" si="114"/>
        <v>#REF!</v>
      </c>
      <c r="BG51" s="18"/>
      <c r="BH51" s="2" t="e">
        <f t="shared" ca="1" si="115"/>
        <v>#REF!</v>
      </c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</row>
    <row r="52" spans="1:76" x14ac:dyDescent="0.2">
      <c r="A52" s="563" t="s">
        <v>249</v>
      </c>
      <c r="B52" s="591"/>
      <c r="C52" s="585"/>
      <c r="D52" s="51"/>
      <c r="E52" s="68"/>
      <c r="F52" s="68"/>
      <c r="G52" s="394"/>
      <c r="H52" s="265"/>
      <c r="I52" s="265"/>
      <c r="J52" s="265"/>
      <c r="K52" s="265"/>
      <c r="L52" s="265"/>
      <c r="M52" s="265"/>
      <c r="N52" s="265"/>
      <c r="O52" s="265"/>
      <c r="P52" s="265"/>
      <c r="Q52" s="265"/>
      <c r="R52" s="8"/>
      <c r="S52" s="68"/>
      <c r="T52" s="539"/>
      <c r="U52" s="539"/>
      <c r="V52" s="540"/>
      <c r="W52" s="540"/>
      <c r="X52" s="541"/>
      <c r="Y52" s="15"/>
      <c r="Z52" s="540"/>
      <c r="AA52" s="68"/>
      <c r="AB52" s="539"/>
      <c r="AC52" s="539"/>
      <c r="AD52" s="540"/>
      <c r="AE52" s="540"/>
      <c r="AF52" s="541"/>
      <c r="AG52" s="15"/>
      <c r="AH52" s="540"/>
      <c r="AI52" s="68"/>
      <c r="AJ52" s="539"/>
      <c r="AK52" s="539"/>
      <c r="AL52" s="540"/>
      <c r="AM52" s="540"/>
      <c r="AN52" s="541"/>
      <c r="AO52" s="15"/>
      <c r="AP52" s="540"/>
      <c r="AQ52" s="15"/>
      <c r="AR52" s="15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69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</row>
    <row r="53" spans="1:76" x14ac:dyDescent="0.2">
      <c r="A53" s="576" t="str">
        <f>'DDR2 Strobes - 2x16_1R SODIMM'!$A$27</f>
        <v>SA_DQS4</v>
      </c>
      <c r="B53" s="592" t="str">
        <f>'DDR2 Strobes - 2x16_1R SODIMM'!$B$27</f>
        <v>AB19</v>
      </c>
      <c r="C53" s="586"/>
      <c r="D53" s="44"/>
      <c r="E53" s="67"/>
      <c r="F53" s="67"/>
      <c r="G53" s="602"/>
      <c r="H53" s="603"/>
      <c r="I53" s="603"/>
      <c r="J53" s="603"/>
      <c r="K53" s="603"/>
      <c r="L53" s="603"/>
      <c r="M53" s="603"/>
      <c r="N53" s="603"/>
      <c r="O53" s="603"/>
      <c r="P53" s="603"/>
      <c r="Q53" s="603"/>
      <c r="R53" s="67"/>
      <c r="S53" s="67"/>
      <c r="T53" s="48"/>
      <c r="U53" s="48" t="e">
        <f>'DDR2 Strobes - 2x16_1R SODIMM'!$U$27</f>
        <v>#REF!</v>
      </c>
      <c r="V53" s="48"/>
      <c r="W53" s="48"/>
      <c r="X53" s="48"/>
      <c r="Y53" s="542"/>
      <c r="Z53" s="48"/>
      <c r="AA53" s="67"/>
      <c r="AB53" s="48"/>
      <c r="AC53" s="48" t="e">
        <f>'DDR2 Strobes - 2x16_1R SODIMM'!$AD$27</f>
        <v>#REF!</v>
      </c>
      <c r="AD53" s="48"/>
      <c r="AE53" s="48"/>
      <c r="AF53" s="48"/>
      <c r="AG53" s="542"/>
      <c r="AH53" s="48"/>
      <c r="AI53" s="67"/>
      <c r="AJ53" s="48"/>
      <c r="AK53" s="48" t="e">
        <f>'DDR2 Strobes - 2x16_1R SODIMM'!$AL$27</f>
        <v>#REF!</v>
      </c>
      <c r="AL53" s="48"/>
      <c r="AM53" s="48"/>
      <c r="AN53" s="48"/>
      <c r="AO53" s="542"/>
      <c r="AP53" s="48"/>
      <c r="AQ53" s="542"/>
      <c r="AR53" s="542"/>
      <c r="AS53" s="542"/>
      <c r="AT53" s="542"/>
      <c r="AU53" s="542"/>
      <c r="AV53" s="542"/>
      <c r="AW53" s="542"/>
      <c r="AX53" s="542"/>
      <c r="AY53" s="542"/>
      <c r="AZ53" s="542"/>
      <c r="BA53" s="542"/>
      <c r="BB53" s="542"/>
      <c r="BC53" s="542"/>
      <c r="BD53" s="542"/>
      <c r="BE53" s="542"/>
      <c r="BF53" s="542"/>
      <c r="BG53" s="48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</row>
    <row r="54" spans="1:76" x14ac:dyDescent="0.2">
      <c r="A54" s="576" t="str">
        <f>'DDR2 Strobes - 2x16_1R SODIMM'!$A$28</f>
        <v>SA_DQS4#</v>
      </c>
      <c r="B54" s="592" t="str">
        <f>'DDR2 Strobes - 2x16_1R SODIMM'!$B$28</f>
        <v>AB18</v>
      </c>
      <c r="C54" s="586"/>
      <c r="D54" s="44"/>
      <c r="E54" s="67"/>
      <c r="F54" s="67"/>
      <c r="G54" s="602"/>
      <c r="H54" s="603"/>
      <c r="I54" s="603"/>
      <c r="J54" s="603"/>
      <c r="K54" s="603"/>
      <c r="L54" s="603"/>
      <c r="M54" s="603"/>
      <c r="N54" s="603"/>
      <c r="O54" s="603"/>
      <c r="P54" s="603"/>
      <c r="Q54" s="603"/>
      <c r="R54" s="67"/>
      <c r="S54" s="67"/>
      <c r="T54" s="537"/>
      <c r="U54" s="48" t="e">
        <f>'DDR2 Strobes - 2x16_1R SODIMM'!$U$28</f>
        <v>#REF!</v>
      </c>
      <c r="V54" s="48"/>
      <c r="W54" s="48"/>
      <c r="X54" s="48"/>
      <c r="Y54" s="542"/>
      <c r="Z54" s="48"/>
      <c r="AA54" s="536"/>
      <c r="AB54" s="537"/>
      <c r="AC54" s="48" t="e">
        <f>'DDR2 Strobes - 2x16_1R SODIMM'!$AD$28</f>
        <v>#REF!</v>
      </c>
      <c r="AD54" s="48"/>
      <c r="AE54" s="48"/>
      <c r="AF54" s="48"/>
      <c r="AG54" s="542"/>
      <c r="AH54" s="48"/>
      <c r="AI54" s="536"/>
      <c r="AJ54" s="537"/>
      <c r="AK54" s="48" t="e">
        <f>'DDR2 Strobes - 2x16_1R SODIMM'!$AL$28</f>
        <v>#REF!</v>
      </c>
      <c r="AL54" s="48"/>
      <c r="AM54" s="48"/>
      <c r="AN54" s="48"/>
      <c r="AO54" s="542"/>
      <c r="AP54" s="48"/>
      <c r="AQ54" s="542"/>
      <c r="AR54" s="542"/>
      <c r="AS54" s="543"/>
      <c r="AT54" s="543"/>
      <c r="AU54" s="543"/>
      <c r="AV54" s="543"/>
      <c r="AW54" s="543"/>
      <c r="AX54" s="543"/>
      <c r="AY54" s="543"/>
      <c r="AZ54" s="543"/>
      <c r="BA54" s="543"/>
      <c r="BB54" s="543"/>
      <c r="BC54" s="543"/>
      <c r="BD54" s="543"/>
      <c r="BE54" s="543"/>
      <c r="BF54" s="543"/>
      <c r="BG54" s="48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</row>
    <row r="55" spans="1:76" x14ac:dyDescent="0.2">
      <c r="A55" s="560" t="s">
        <v>204</v>
      </c>
      <c r="B55" s="589" t="s">
        <v>526</v>
      </c>
      <c r="C55" s="584">
        <v>655.8661417322835</v>
      </c>
      <c r="D55" s="16"/>
      <c r="E55" s="17">
        <v>22.63</v>
      </c>
      <c r="F55" s="17">
        <v>0</v>
      </c>
      <c r="G55">
        <v>1375</v>
      </c>
      <c r="H55">
        <v>40</v>
      </c>
      <c r="I55">
        <v>827.1</v>
      </c>
      <c r="J55">
        <v>44.57</v>
      </c>
      <c r="K55" s="17">
        <v>40</v>
      </c>
      <c r="L55">
        <v>77.5</v>
      </c>
      <c r="M55">
        <v>1195.94</v>
      </c>
      <c r="N55" s="271">
        <v>0</v>
      </c>
      <c r="O55" s="271">
        <v>0</v>
      </c>
      <c r="P55">
        <v>65.849999999999994</v>
      </c>
      <c r="Q55">
        <v>65.819999999999993</v>
      </c>
      <c r="R55" s="58"/>
      <c r="S55" s="441">
        <f t="shared" ref="S55:S63" si="116" xml:space="preserve"> E55+F55+G55+H55</f>
        <v>1437.63</v>
      </c>
      <c r="T55" s="441" t="e">
        <f t="shared" ref="T55:T63" si="117">S55+IF($B$2="mil",1,0.0254)*C55</f>
        <v>#REF!</v>
      </c>
      <c r="U55" s="441" t="e">
        <f>MAX(U$53:U$54)+IF($B$2="mil",1,0.0254)*DDR2Specs!$B$3</f>
        <v>#REF!</v>
      </c>
      <c r="V55" s="441" t="e">
        <f>MIN(U$53:U$54)+IF($B$2="mil",1,0.0254)*DDR2Specs!$C$3</f>
        <v>#REF!</v>
      </c>
      <c r="W55" s="18"/>
      <c r="X55" s="534" t="e">
        <f t="shared" ref="X55:X63" si="118">IF($T55&lt;$U55,$U55-$T55,"Pass")</f>
        <v>#REF!</v>
      </c>
      <c r="Y55" s="447" t="e">
        <f t="shared" ref="Y55:Y63" si="119">IF($T55&gt;$V55,$T55-$V55,"Pass")</f>
        <v>#REF!</v>
      </c>
      <c r="Z55" s="18"/>
      <c r="AA55" s="441">
        <f t="shared" ref="AA55:AA63" si="120">SUM(E55:G55,I55:N55,P55)</f>
        <v>3648.59</v>
      </c>
      <c r="AB55" s="441" t="e">
        <f t="shared" ref="AB55:AB63" si="121">AA55+IF($B$2="mil",1,0.0254)*$C55</f>
        <v>#REF!</v>
      </c>
      <c r="AC55" s="441" t="e">
        <f>MAX(AC$53:AC$54)+IF($B$2="mil",1,0.0254)*DDR2Specs!$E$3</f>
        <v>#REF!</v>
      </c>
      <c r="AD55" s="441" t="e">
        <f>MIN(AC$53:AC$54)+IF($B$2="mil",1,0.0254)*DDR2Specs!$F$3</f>
        <v>#REF!</v>
      </c>
      <c r="AE55" s="18"/>
      <c r="AF55" s="534" t="e">
        <f t="shared" ref="AF55:AF63" si="122">IF($AB55&lt;$AC55,$AC55-$AB55,"Pass")</f>
        <v>#REF!</v>
      </c>
      <c r="AG55" s="447" t="e">
        <f t="shared" ref="AG55:AG63" si="123">IF($AB55&gt;$AD55,$AB55-$AD55,"Pass")</f>
        <v>#REF!</v>
      </c>
      <c r="AH55" s="18"/>
      <c r="AI55" s="441">
        <f t="shared" ref="AI55:AI63" si="124">SUM(E55:G55,I55:M55,O55,Q55)</f>
        <v>3648.5600000000004</v>
      </c>
      <c r="AJ55" s="441" t="e">
        <f t="shared" ref="AJ55:AJ63" si="125">AI55+IF($B$2="mil",1,0.0254)*$C55</f>
        <v>#REF!</v>
      </c>
      <c r="AK55" s="441" t="e">
        <f>MAX(AK$53:AK$54)+IF($B$2="mil",1,0.0254)*DDR2Specs!$E$3</f>
        <v>#REF!</v>
      </c>
      <c r="AL55" s="441" t="e">
        <f>MIN(AK$53:AK$54)+IF($B$2="mil",1,0.0254)*DDR2Specs!$F$3</f>
        <v>#REF!</v>
      </c>
      <c r="AM55" s="18"/>
      <c r="AN55" s="534" t="e">
        <f t="shared" ref="AN55:AN63" si="126">IF($AJ55&lt;$AK55,$AK55-$AJ55,"Pass")</f>
        <v>#REF!</v>
      </c>
      <c r="AO55" s="447" t="e">
        <f t="shared" ref="AO55:AO63" si="127">IF($AJ55&gt;$AL55,$AJ55-$AL55,"Pass")</f>
        <v>#REF!</v>
      </c>
      <c r="AP55" s="18"/>
      <c r="AQ55" s="447" t="e">
        <f t="shared" ref="AQ55:AQ63" si="128">IF($E55&lt;=IF($B$2="mil",1,0.0254)*50,"Pass",IF($B$2="mil",1,0.0254)*50-$E55)</f>
        <v>#REF!</v>
      </c>
      <c r="AR55" s="447" t="e">
        <f t="shared" ref="AR55:AR63" si="129">IF($F55&lt;=IF($B$2="mil",1,0.0254)*500,"Pass",IF($B$2="mil",1,0.0254)*500-$F55)</f>
        <v>#REF!</v>
      </c>
      <c r="AS55" s="447" t="e">
        <f t="shared" ref="AS55:AS63" si="130">IF($H55&lt;=IF($B$2="mil",1,0.0254)*250,"Pass",IF($B$2="mil",1,0.0254)*250-$H55)</f>
        <v>#REF!</v>
      </c>
      <c r="AT55" s="447" t="e">
        <f t="shared" ref="AT55:AT63" ca="1" si="131">CheckLength(IF($B$2="mil",1,0.0254)*750, IF($B$2="mil",1,0.0254)*125-J55, 0, I55,J55,0)</f>
        <v>#NAME?</v>
      </c>
      <c r="AU55" s="447" t="e">
        <f t="shared" ref="AU55:AU63" si="132">IF($J55&lt;=IF($B$2="mil",1,0.0254)*125,"Pass",IF($B$2="mil",1,0.0254)*125-$J55)</f>
        <v>#REF!</v>
      </c>
      <c r="AV55" s="447" t="e">
        <f t="shared" ref="AV55:AV63" si="133">IF($L55&lt;=IF($B$2="mil",1,0.0254)*125,"Pass",IF($B$2="mil",1,0.0254)*125-$L55)</f>
        <v>#REF!</v>
      </c>
      <c r="AW55" s="447" t="e">
        <f t="shared" ref="AW55:AW63" si="134">IF(($L55+$M55)&lt;=IF($B$2="mil",1,0.0254)*1275,"Pass",IF($B$2="mil",1,0.0254)*1275-($L55+H55))</f>
        <v>#REF!</v>
      </c>
      <c r="AX55" s="447" t="e">
        <f t="shared" ref="AX55:AX63" si="135">IF($N55&lt;=IF($B$2="mil",1,0.0254)*150,"Pass",IF($B$2="mil",1,0.0254)*150-$N55)</f>
        <v>#REF!</v>
      </c>
      <c r="AY55" s="447" t="e">
        <f t="shared" ref="AY55:AY63" si="136">IF($O55&lt;=IF($B$2="mil",1,0.0254)*150,"Pass",IF($B$2="mil",1,0.0254)*150-$O55)</f>
        <v>#REF!</v>
      </c>
      <c r="AZ55" s="445" t="e">
        <f t="shared" ref="AZ55:AZ63" si="137">IF(MAX(N55:O55)-MIN(N55:O55)&lt;=IF($B$2="mil",1,0.0254)*50,"Pass",MAX(N55:O55)-MIN(N55:O55)-IF($B$2="mil",1,0.0254)*50)</f>
        <v>#REF!</v>
      </c>
      <c r="BA55" s="447" t="e">
        <f t="shared" ref="BA55:BA63" ca="1" si="138">CheckLength2(IF($B$2="mil",1,0.0254)*200,$P55,N55,0)</f>
        <v>#NAME?</v>
      </c>
      <c r="BB55" s="447" t="e">
        <f t="shared" ref="BB55:BB63" ca="1" si="139">CheckLength2(IF($B$2="mil",1,0.0254)*200,$Q55,O55,0)</f>
        <v>#NAME?</v>
      </c>
      <c r="BC55" s="447" t="e">
        <f t="shared" ref="BC55:BC63" si="140">IF(AND($S55&gt;=IF($B$2="mil",1,0.0254)*500, $S55&lt;=IF($B$2="mil",1,0.0254)*4000),"Pass",IF($B$2="mil",1,0.0254)*4000-$S55)</f>
        <v>#REF!</v>
      </c>
      <c r="BD55" s="447" t="e">
        <f t="shared" ref="BD55:BD63" si="141">IF(AND($T55&gt;=IF($B$2="mil",1,0.0254)*500, $T55&lt;=IF($B$2="mil",1,0.0254)*4500),"Pass",IF($B$2="mil",1,0.0254)*4500-$T55)</f>
        <v>#REF!</v>
      </c>
      <c r="BE55" s="447" t="e">
        <f t="shared" ref="BE55:BE63" si="142">IF(AND($AA55&gt;=IF($B$2="mil",1,0.0254)*500, $AA55&lt;=IF($B$2="mil",1,0.0254)*5500),"Pass",IF($B$2="mil",1,0.0254)*5500-$AA55)</f>
        <v>#REF!</v>
      </c>
      <c r="BF55" s="447" t="e">
        <f t="shared" ref="BF55:BF63" si="143">IF(AND($AB55&gt;=IF($B$2="mil",1,0.0254)*500, $AB55&lt;=IF($B$2="mil",1,0.0254)*6000),"Pass",IF($B$2="mil",1,0.0254)*6000-$AB55)</f>
        <v>#REF!</v>
      </c>
      <c r="BG55" s="18"/>
      <c r="BH55" s="2" t="e">
        <f t="shared" ref="BH55:BH63" ca="1" si="144">IF(AND(AN55="Pass",AO55="Pass",AQ55="Pass",BD55="Pass",AS55="Pass",AR55="Pass",BC55="Pass",X55="Pass",Y55="Pass",BB55="Pass",AW55="Pass",AX55="Pass",AY55="Pass",AZ55="Pass",BA55="Pass",AV55="Pass",AU55="Pass",AT55="Pass",AF55="Pass",AG55="Pass",BE55="Pass",BF55="Pass"),"Pass","Fail")</f>
        <v>#REF!</v>
      </c>
      <c r="BI55" s="2" t="e">
        <f ca="1">IF(AND(BH55="Pass",BH56="Pass",BH57="Pass",BH58="Pass",BH59="Pass",BH60="Pass",BH61="Pass",BH62="Pass",BH63="Pass"),"Pass","Fail")</f>
        <v>#REF!</v>
      </c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</row>
    <row r="56" spans="1:76" x14ac:dyDescent="0.2">
      <c r="A56" s="560" t="s">
        <v>205</v>
      </c>
      <c r="B56" s="589" t="s">
        <v>405</v>
      </c>
      <c r="C56" s="584">
        <v>729.25196850393706</v>
      </c>
      <c r="D56" s="16"/>
      <c r="E56" s="17">
        <v>22.63</v>
      </c>
      <c r="F56" s="17">
        <v>0</v>
      </c>
      <c r="G56">
        <v>1320</v>
      </c>
      <c r="H56">
        <v>10</v>
      </c>
      <c r="I56">
        <v>761.84</v>
      </c>
      <c r="J56">
        <v>85.78</v>
      </c>
      <c r="K56" s="17">
        <v>40</v>
      </c>
      <c r="L56">
        <v>44.57</v>
      </c>
      <c r="M56">
        <v>1199.1400000000001</v>
      </c>
      <c r="N56" s="271">
        <v>0</v>
      </c>
      <c r="O56" s="271">
        <v>0</v>
      </c>
      <c r="P56">
        <v>97.27</v>
      </c>
      <c r="Q56">
        <v>97.3</v>
      </c>
      <c r="R56" s="58"/>
      <c r="S56" s="441">
        <f t="shared" si="116"/>
        <v>1352.63</v>
      </c>
      <c r="T56" s="441" t="e">
        <f t="shared" si="117"/>
        <v>#REF!</v>
      </c>
      <c r="U56" s="441" t="e">
        <f>MAX(U$53:U$54)+IF($B$2="mil",1,0.0254)*DDR2Specs!$B$3</f>
        <v>#REF!</v>
      </c>
      <c r="V56" s="441" t="e">
        <f>MIN(U$53:U$54)+IF($B$2="mil",1,0.0254)*DDR2Specs!$C$3</f>
        <v>#REF!</v>
      </c>
      <c r="W56" s="18"/>
      <c r="X56" s="534" t="e">
        <f t="shared" si="118"/>
        <v>#REF!</v>
      </c>
      <c r="Y56" s="447" t="e">
        <f t="shared" si="119"/>
        <v>#REF!</v>
      </c>
      <c r="Z56" s="18"/>
      <c r="AA56" s="441">
        <f t="shared" si="120"/>
        <v>3571.2300000000009</v>
      </c>
      <c r="AB56" s="441" t="e">
        <f t="shared" si="121"/>
        <v>#REF!</v>
      </c>
      <c r="AC56" s="441" t="e">
        <f>MAX(AC$53:AC$54)+IF($B$2="mil",1,0.0254)*DDR2Specs!$E$3</f>
        <v>#REF!</v>
      </c>
      <c r="AD56" s="441" t="e">
        <f>MIN(AC$53:AC$54)+IF($B$2="mil",1,0.0254)*DDR2Specs!$F$3</f>
        <v>#REF!</v>
      </c>
      <c r="AE56" s="18"/>
      <c r="AF56" s="534" t="e">
        <f t="shared" si="122"/>
        <v>#REF!</v>
      </c>
      <c r="AG56" s="447" t="e">
        <f t="shared" si="123"/>
        <v>#REF!</v>
      </c>
      <c r="AH56" s="18"/>
      <c r="AI56" s="441">
        <f t="shared" si="124"/>
        <v>3571.2600000000011</v>
      </c>
      <c r="AJ56" s="441" t="e">
        <f t="shared" si="125"/>
        <v>#REF!</v>
      </c>
      <c r="AK56" s="441" t="e">
        <f>MAX(AK$53:AK$54)+IF($B$2="mil",1,0.0254)*DDR2Specs!$E$3</f>
        <v>#REF!</v>
      </c>
      <c r="AL56" s="441" t="e">
        <f>MIN(AK$53:AK$54)+IF($B$2="mil",1,0.0254)*DDR2Specs!$F$3</f>
        <v>#REF!</v>
      </c>
      <c r="AM56" s="18"/>
      <c r="AN56" s="534" t="e">
        <f t="shared" si="126"/>
        <v>#REF!</v>
      </c>
      <c r="AO56" s="447" t="e">
        <f t="shared" si="127"/>
        <v>#REF!</v>
      </c>
      <c r="AP56" s="18"/>
      <c r="AQ56" s="447" t="e">
        <f t="shared" si="128"/>
        <v>#REF!</v>
      </c>
      <c r="AR56" s="447" t="e">
        <f t="shared" si="129"/>
        <v>#REF!</v>
      </c>
      <c r="AS56" s="447" t="e">
        <f t="shared" si="130"/>
        <v>#REF!</v>
      </c>
      <c r="AT56" s="447" t="e">
        <f t="shared" ca="1" si="131"/>
        <v>#NAME?</v>
      </c>
      <c r="AU56" s="447" t="e">
        <f t="shared" si="132"/>
        <v>#REF!</v>
      </c>
      <c r="AV56" s="447" t="e">
        <f t="shared" si="133"/>
        <v>#REF!</v>
      </c>
      <c r="AW56" s="447" t="e">
        <f t="shared" si="134"/>
        <v>#REF!</v>
      </c>
      <c r="AX56" s="447" t="e">
        <f t="shared" si="135"/>
        <v>#REF!</v>
      </c>
      <c r="AY56" s="447" t="e">
        <f t="shared" si="136"/>
        <v>#REF!</v>
      </c>
      <c r="AZ56" s="445" t="e">
        <f t="shared" si="137"/>
        <v>#REF!</v>
      </c>
      <c r="BA56" s="447" t="e">
        <f t="shared" ca="1" si="138"/>
        <v>#NAME?</v>
      </c>
      <c r="BB56" s="447" t="e">
        <f t="shared" ca="1" si="139"/>
        <v>#NAME?</v>
      </c>
      <c r="BC56" s="447" t="e">
        <f t="shared" si="140"/>
        <v>#REF!</v>
      </c>
      <c r="BD56" s="447" t="e">
        <f t="shared" si="141"/>
        <v>#REF!</v>
      </c>
      <c r="BE56" s="447" t="e">
        <f t="shared" si="142"/>
        <v>#REF!</v>
      </c>
      <c r="BF56" s="447" t="e">
        <f t="shared" si="143"/>
        <v>#REF!</v>
      </c>
      <c r="BG56" s="18"/>
      <c r="BH56" s="2" t="e">
        <f t="shared" ca="1" si="144"/>
        <v>#REF!</v>
      </c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</row>
    <row r="57" spans="1:76" x14ac:dyDescent="0.2">
      <c r="A57" s="560" t="s">
        <v>206</v>
      </c>
      <c r="B57" s="589" t="s">
        <v>409</v>
      </c>
      <c r="C57" s="584">
        <v>732.12598425196848</v>
      </c>
      <c r="D57" s="16"/>
      <c r="E57" s="17">
        <v>22.63</v>
      </c>
      <c r="F57" s="17">
        <v>0</v>
      </c>
      <c r="G57">
        <v>1334</v>
      </c>
      <c r="H57">
        <v>6</v>
      </c>
      <c r="I57">
        <v>787.08</v>
      </c>
      <c r="J57">
        <v>85.78</v>
      </c>
      <c r="K57" s="17">
        <v>40</v>
      </c>
      <c r="L57">
        <v>44.57</v>
      </c>
      <c r="M57">
        <v>1227</v>
      </c>
      <c r="N57" s="271">
        <v>0</v>
      </c>
      <c r="O57" s="271">
        <v>0</v>
      </c>
      <c r="P57">
        <v>30.83</v>
      </c>
      <c r="Q57">
        <v>30.86</v>
      </c>
      <c r="R57" s="58"/>
      <c r="S57" s="441">
        <f t="shared" si="116"/>
        <v>1362.63</v>
      </c>
      <c r="T57" s="441" t="e">
        <f t="shared" si="117"/>
        <v>#REF!</v>
      </c>
      <c r="U57" s="441" t="e">
        <f>MAX(U$53:U$54)+IF($B$2="mil",1,0.0254)*DDR2Specs!$B$3</f>
        <v>#REF!</v>
      </c>
      <c r="V57" s="441" t="e">
        <f>MIN(U$53:U$54)+IF($B$2="mil",1,0.0254)*DDR2Specs!$C$3</f>
        <v>#REF!</v>
      </c>
      <c r="W57" s="18"/>
      <c r="X57" s="534" t="e">
        <f t="shared" si="118"/>
        <v>#REF!</v>
      </c>
      <c r="Y57" s="447" t="e">
        <f t="shared" si="119"/>
        <v>#REF!</v>
      </c>
      <c r="Z57" s="18"/>
      <c r="AA57" s="441">
        <f t="shared" si="120"/>
        <v>3571.8900000000003</v>
      </c>
      <c r="AB57" s="441" t="e">
        <f t="shared" si="121"/>
        <v>#REF!</v>
      </c>
      <c r="AC57" s="441" t="e">
        <f>MAX(AC$53:AC$54)+IF($B$2="mil",1,0.0254)*DDR2Specs!$E$3</f>
        <v>#REF!</v>
      </c>
      <c r="AD57" s="441" t="e">
        <f>MIN(AC$53:AC$54)+IF($B$2="mil",1,0.0254)*DDR2Specs!$F$3</f>
        <v>#REF!</v>
      </c>
      <c r="AE57" s="18"/>
      <c r="AF57" s="534" t="e">
        <f t="shared" si="122"/>
        <v>#REF!</v>
      </c>
      <c r="AG57" s="447" t="e">
        <f t="shared" si="123"/>
        <v>#REF!</v>
      </c>
      <c r="AH57" s="18"/>
      <c r="AI57" s="441">
        <f t="shared" si="124"/>
        <v>3571.9200000000005</v>
      </c>
      <c r="AJ57" s="441" t="e">
        <f t="shared" si="125"/>
        <v>#REF!</v>
      </c>
      <c r="AK57" s="441" t="e">
        <f>MAX(AK$53:AK$54)+IF($B$2="mil",1,0.0254)*DDR2Specs!$E$3</f>
        <v>#REF!</v>
      </c>
      <c r="AL57" s="441" t="e">
        <f>MIN(AK$53:AK$54)+IF($B$2="mil",1,0.0254)*DDR2Specs!$F$3</f>
        <v>#REF!</v>
      </c>
      <c r="AM57" s="18"/>
      <c r="AN57" s="534" t="e">
        <f t="shared" si="126"/>
        <v>#REF!</v>
      </c>
      <c r="AO57" s="447" t="e">
        <f t="shared" si="127"/>
        <v>#REF!</v>
      </c>
      <c r="AP57" s="18"/>
      <c r="AQ57" s="447" t="e">
        <f t="shared" si="128"/>
        <v>#REF!</v>
      </c>
      <c r="AR57" s="447" t="e">
        <f t="shared" si="129"/>
        <v>#REF!</v>
      </c>
      <c r="AS57" s="447" t="e">
        <f t="shared" si="130"/>
        <v>#REF!</v>
      </c>
      <c r="AT57" s="447" t="e">
        <f t="shared" ca="1" si="131"/>
        <v>#NAME?</v>
      </c>
      <c r="AU57" s="447" t="e">
        <f t="shared" si="132"/>
        <v>#REF!</v>
      </c>
      <c r="AV57" s="447" t="e">
        <f t="shared" si="133"/>
        <v>#REF!</v>
      </c>
      <c r="AW57" s="447" t="e">
        <f t="shared" si="134"/>
        <v>#REF!</v>
      </c>
      <c r="AX57" s="447" t="e">
        <f t="shared" si="135"/>
        <v>#REF!</v>
      </c>
      <c r="AY57" s="447" t="e">
        <f t="shared" si="136"/>
        <v>#REF!</v>
      </c>
      <c r="AZ57" s="445" t="e">
        <f t="shared" si="137"/>
        <v>#REF!</v>
      </c>
      <c r="BA57" s="447" t="e">
        <f t="shared" ca="1" si="138"/>
        <v>#NAME?</v>
      </c>
      <c r="BB57" s="447" t="e">
        <f t="shared" ca="1" si="139"/>
        <v>#NAME?</v>
      </c>
      <c r="BC57" s="447" t="e">
        <f t="shared" si="140"/>
        <v>#REF!</v>
      </c>
      <c r="BD57" s="447" t="e">
        <f t="shared" si="141"/>
        <v>#REF!</v>
      </c>
      <c r="BE57" s="447" t="e">
        <f t="shared" si="142"/>
        <v>#REF!</v>
      </c>
      <c r="BF57" s="447" t="e">
        <f t="shared" si="143"/>
        <v>#REF!</v>
      </c>
      <c r="BG57" s="18"/>
      <c r="BH57" s="2" t="e">
        <f t="shared" ca="1" si="144"/>
        <v>#REF!</v>
      </c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</row>
    <row r="58" spans="1:76" x14ac:dyDescent="0.2">
      <c r="A58" s="560" t="s">
        <v>207</v>
      </c>
      <c r="B58" s="589" t="s">
        <v>527</v>
      </c>
      <c r="C58" s="584">
        <v>731.0236220472442</v>
      </c>
      <c r="D58" s="16"/>
      <c r="E58" s="17">
        <v>22.63</v>
      </c>
      <c r="F58" s="17">
        <v>0</v>
      </c>
      <c r="G58">
        <v>1334</v>
      </c>
      <c r="H58">
        <v>7</v>
      </c>
      <c r="I58">
        <v>829.82</v>
      </c>
      <c r="J58">
        <v>44.57</v>
      </c>
      <c r="K58" s="17">
        <v>40</v>
      </c>
      <c r="L58">
        <v>85.78</v>
      </c>
      <c r="M58">
        <v>1183.3</v>
      </c>
      <c r="N58" s="271">
        <v>0</v>
      </c>
      <c r="O58" s="271">
        <v>0</v>
      </c>
      <c r="P58">
        <v>31.57</v>
      </c>
      <c r="Q58">
        <v>31.54</v>
      </c>
      <c r="R58" s="58"/>
      <c r="S58" s="441">
        <f t="shared" si="116"/>
        <v>1363.63</v>
      </c>
      <c r="T58" s="441" t="e">
        <f t="shared" si="117"/>
        <v>#REF!</v>
      </c>
      <c r="U58" s="441" t="e">
        <f>MAX(U$53:U$54)+IF($B$2="mil",1,0.0254)*DDR2Specs!$B$3</f>
        <v>#REF!</v>
      </c>
      <c r="V58" s="441" t="e">
        <f>MIN(U$53:U$54)+IF($B$2="mil",1,0.0254)*DDR2Specs!$C$3</f>
        <v>#REF!</v>
      </c>
      <c r="W58" s="18"/>
      <c r="X58" s="534" t="e">
        <f t="shared" si="118"/>
        <v>#REF!</v>
      </c>
      <c r="Y58" s="447" t="e">
        <f t="shared" si="119"/>
        <v>#REF!</v>
      </c>
      <c r="Z58" s="18"/>
      <c r="AA58" s="441">
        <f t="shared" si="120"/>
        <v>3571.6700000000005</v>
      </c>
      <c r="AB58" s="441" t="e">
        <f t="shared" si="121"/>
        <v>#REF!</v>
      </c>
      <c r="AC58" s="441" t="e">
        <f>MAX(AC$53:AC$54)+IF($B$2="mil",1,0.0254)*DDR2Specs!$E$3</f>
        <v>#REF!</v>
      </c>
      <c r="AD58" s="441" t="e">
        <f>MIN(AC$53:AC$54)+IF($B$2="mil",1,0.0254)*DDR2Specs!$F$3</f>
        <v>#REF!</v>
      </c>
      <c r="AE58" s="18"/>
      <c r="AF58" s="534" t="e">
        <f t="shared" si="122"/>
        <v>#REF!</v>
      </c>
      <c r="AG58" s="447" t="e">
        <f t="shared" si="123"/>
        <v>#REF!</v>
      </c>
      <c r="AH58" s="18"/>
      <c r="AI58" s="441">
        <f t="shared" si="124"/>
        <v>3571.6400000000003</v>
      </c>
      <c r="AJ58" s="441" t="e">
        <f t="shared" si="125"/>
        <v>#REF!</v>
      </c>
      <c r="AK58" s="441" t="e">
        <f>MAX(AK$53:AK$54)+IF($B$2="mil",1,0.0254)*DDR2Specs!$E$3</f>
        <v>#REF!</v>
      </c>
      <c r="AL58" s="441" t="e">
        <f>MIN(AK$53:AK$54)+IF($B$2="mil",1,0.0254)*DDR2Specs!$F$3</f>
        <v>#REF!</v>
      </c>
      <c r="AM58" s="18"/>
      <c r="AN58" s="534" t="e">
        <f t="shared" si="126"/>
        <v>#REF!</v>
      </c>
      <c r="AO58" s="447" t="e">
        <f t="shared" si="127"/>
        <v>#REF!</v>
      </c>
      <c r="AP58" s="18"/>
      <c r="AQ58" s="447" t="e">
        <f t="shared" si="128"/>
        <v>#REF!</v>
      </c>
      <c r="AR58" s="447" t="e">
        <f t="shared" si="129"/>
        <v>#REF!</v>
      </c>
      <c r="AS58" s="447" t="e">
        <f t="shared" si="130"/>
        <v>#REF!</v>
      </c>
      <c r="AT58" s="447" t="e">
        <f t="shared" ca="1" si="131"/>
        <v>#NAME?</v>
      </c>
      <c r="AU58" s="447" t="e">
        <f t="shared" si="132"/>
        <v>#REF!</v>
      </c>
      <c r="AV58" s="447" t="e">
        <f t="shared" si="133"/>
        <v>#REF!</v>
      </c>
      <c r="AW58" s="447" t="e">
        <f t="shared" si="134"/>
        <v>#REF!</v>
      </c>
      <c r="AX58" s="447" t="e">
        <f t="shared" si="135"/>
        <v>#REF!</v>
      </c>
      <c r="AY58" s="447" t="e">
        <f t="shared" si="136"/>
        <v>#REF!</v>
      </c>
      <c r="AZ58" s="445" t="e">
        <f t="shared" si="137"/>
        <v>#REF!</v>
      </c>
      <c r="BA58" s="447" t="e">
        <f t="shared" ca="1" si="138"/>
        <v>#NAME?</v>
      </c>
      <c r="BB58" s="447" t="e">
        <f t="shared" ca="1" si="139"/>
        <v>#NAME?</v>
      </c>
      <c r="BC58" s="447" t="e">
        <f t="shared" si="140"/>
        <v>#REF!</v>
      </c>
      <c r="BD58" s="447" t="e">
        <f t="shared" si="141"/>
        <v>#REF!</v>
      </c>
      <c r="BE58" s="447" t="e">
        <f t="shared" si="142"/>
        <v>#REF!</v>
      </c>
      <c r="BF58" s="447" t="e">
        <f t="shared" si="143"/>
        <v>#REF!</v>
      </c>
      <c r="BG58" s="18"/>
      <c r="BH58" s="2" t="e">
        <f t="shared" ca="1" si="144"/>
        <v>#REF!</v>
      </c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</row>
    <row r="59" spans="1:76" x14ac:dyDescent="0.2">
      <c r="A59" s="560" t="s">
        <v>208</v>
      </c>
      <c r="B59" s="589" t="s">
        <v>528</v>
      </c>
      <c r="C59" s="584">
        <v>672.48031496062993</v>
      </c>
      <c r="D59" s="16"/>
      <c r="E59" s="17">
        <v>22.63</v>
      </c>
      <c r="F59" s="17">
        <v>0</v>
      </c>
      <c r="G59">
        <v>1400</v>
      </c>
      <c r="H59">
        <v>0</v>
      </c>
      <c r="I59">
        <v>787.6</v>
      </c>
      <c r="J59">
        <v>85.78</v>
      </c>
      <c r="K59" s="17">
        <v>40</v>
      </c>
      <c r="L59">
        <v>44.57</v>
      </c>
      <c r="M59">
        <v>1226.07</v>
      </c>
      <c r="N59" s="271">
        <v>0</v>
      </c>
      <c r="O59" s="271">
        <v>0</v>
      </c>
      <c r="P59">
        <v>22.24</v>
      </c>
      <c r="Q59">
        <v>22.29</v>
      </c>
      <c r="R59" s="58"/>
      <c r="S59" s="441">
        <f t="shared" si="116"/>
        <v>1422.63</v>
      </c>
      <c r="T59" s="441" t="e">
        <f t="shared" si="117"/>
        <v>#REF!</v>
      </c>
      <c r="U59" s="441" t="e">
        <f>MAX(U$53:U$54)+IF($B$2="mil",1,0.0254)*DDR2Specs!$B$3</f>
        <v>#REF!</v>
      </c>
      <c r="V59" s="441" t="e">
        <f>MIN(U$53:U$54)+IF($B$2="mil",1,0.0254)*DDR2Specs!$C$3</f>
        <v>#REF!</v>
      </c>
      <c r="W59" s="18"/>
      <c r="X59" s="534" t="e">
        <f t="shared" si="118"/>
        <v>#REF!</v>
      </c>
      <c r="Y59" s="447" t="e">
        <f t="shared" si="119"/>
        <v>#REF!</v>
      </c>
      <c r="Z59" s="18"/>
      <c r="AA59" s="441">
        <f t="shared" si="120"/>
        <v>3628.8900000000003</v>
      </c>
      <c r="AB59" s="441" t="e">
        <f t="shared" si="121"/>
        <v>#REF!</v>
      </c>
      <c r="AC59" s="441" t="e">
        <f>MAX(AC$53:AC$54)+IF($B$2="mil",1,0.0254)*DDR2Specs!$E$3</f>
        <v>#REF!</v>
      </c>
      <c r="AD59" s="441" t="e">
        <f>MIN(AC$53:AC$54)+IF($B$2="mil",1,0.0254)*DDR2Specs!$F$3</f>
        <v>#REF!</v>
      </c>
      <c r="AE59" s="18"/>
      <c r="AF59" s="534" t="e">
        <f t="shared" si="122"/>
        <v>#REF!</v>
      </c>
      <c r="AG59" s="447" t="e">
        <f t="shared" si="123"/>
        <v>#REF!</v>
      </c>
      <c r="AH59" s="18"/>
      <c r="AI59" s="441">
        <f t="shared" si="124"/>
        <v>3628.9400000000005</v>
      </c>
      <c r="AJ59" s="441" t="e">
        <f t="shared" si="125"/>
        <v>#REF!</v>
      </c>
      <c r="AK59" s="441" t="e">
        <f>MAX(AK$53:AK$54)+IF($B$2="mil",1,0.0254)*DDR2Specs!$E$3</f>
        <v>#REF!</v>
      </c>
      <c r="AL59" s="441" t="e">
        <f>MIN(AK$53:AK$54)+IF($B$2="mil",1,0.0254)*DDR2Specs!$F$3</f>
        <v>#REF!</v>
      </c>
      <c r="AM59" s="18"/>
      <c r="AN59" s="534" t="e">
        <f t="shared" si="126"/>
        <v>#REF!</v>
      </c>
      <c r="AO59" s="447" t="e">
        <f t="shared" si="127"/>
        <v>#REF!</v>
      </c>
      <c r="AP59" s="18"/>
      <c r="AQ59" s="447" t="e">
        <f t="shared" si="128"/>
        <v>#REF!</v>
      </c>
      <c r="AR59" s="447" t="e">
        <f t="shared" si="129"/>
        <v>#REF!</v>
      </c>
      <c r="AS59" s="447" t="e">
        <f t="shared" si="130"/>
        <v>#REF!</v>
      </c>
      <c r="AT59" s="447" t="e">
        <f t="shared" ca="1" si="131"/>
        <v>#NAME?</v>
      </c>
      <c r="AU59" s="447" t="e">
        <f t="shared" si="132"/>
        <v>#REF!</v>
      </c>
      <c r="AV59" s="447" t="e">
        <f t="shared" si="133"/>
        <v>#REF!</v>
      </c>
      <c r="AW59" s="447" t="e">
        <f t="shared" si="134"/>
        <v>#REF!</v>
      </c>
      <c r="AX59" s="447" t="e">
        <f t="shared" si="135"/>
        <v>#REF!</v>
      </c>
      <c r="AY59" s="447" t="e">
        <f t="shared" si="136"/>
        <v>#REF!</v>
      </c>
      <c r="AZ59" s="445" t="e">
        <f>IF(MAX(N59:O59)-MIN(N59:O59)&lt;=IF($B$2="mil",1,0.0254)*50,"Pass",MAX(N59:O59)-MIN(N59:O59)-IF($B$2="mil",1,0.0254)*50)</f>
        <v>#REF!</v>
      </c>
      <c r="BA59" s="447" t="e">
        <f t="shared" ca="1" si="138"/>
        <v>#NAME?</v>
      </c>
      <c r="BB59" s="447" t="e">
        <f t="shared" ca="1" si="139"/>
        <v>#NAME?</v>
      </c>
      <c r="BC59" s="447" t="e">
        <f t="shared" si="140"/>
        <v>#REF!</v>
      </c>
      <c r="BD59" s="447" t="e">
        <f t="shared" si="141"/>
        <v>#REF!</v>
      </c>
      <c r="BE59" s="447" t="e">
        <f t="shared" si="142"/>
        <v>#REF!</v>
      </c>
      <c r="BF59" s="447" t="e">
        <f t="shared" si="143"/>
        <v>#REF!</v>
      </c>
      <c r="BG59" s="18"/>
      <c r="BH59" s="2" t="e">
        <f t="shared" ca="1" si="144"/>
        <v>#REF!</v>
      </c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</row>
    <row r="60" spans="1:76" x14ac:dyDescent="0.2">
      <c r="A60" s="560" t="s">
        <v>209</v>
      </c>
      <c r="B60" s="589" t="s">
        <v>404</v>
      </c>
      <c r="C60" s="584">
        <v>669.5275590551181</v>
      </c>
      <c r="D60" s="16"/>
      <c r="E60" s="17">
        <v>22.63</v>
      </c>
      <c r="F60" s="17">
        <v>0</v>
      </c>
      <c r="G60">
        <v>1400</v>
      </c>
      <c r="H60">
        <v>0</v>
      </c>
      <c r="I60">
        <v>787.6</v>
      </c>
      <c r="J60">
        <v>85.78</v>
      </c>
      <c r="K60" s="17">
        <v>40</v>
      </c>
      <c r="L60">
        <v>44.57</v>
      </c>
      <c r="M60">
        <v>1226.07</v>
      </c>
      <c r="N60" s="271">
        <v>0</v>
      </c>
      <c r="O60" s="271">
        <v>0</v>
      </c>
      <c r="P60">
        <v>22.24</v>
      </c>
      <c r="Q60">
        <v>22.29</v>
      </c>
      <c r="R60" s="58"/>
      <c r="S60" s="441">
        <f t="shared" si="116"/>
        <v>1422.63</v>
      </c>
      <c r="T60" s="441" t="e">
        <f t="shared" si="117"/>
        <v>#REF!</v>
      </c>
      <c r="U60" s="441" t="e">
        <f>MAX(U$53:U$54)+IF($B$2="mil",1,0.0254)*DDR2Specs!$B$3</f>
        <v>#REF!</v>
      </c>
      <c r="V60" s="441" t="e">
        <f>MIN(U$53:U$54)+IF($B$2="mil",1,0.0254)*DDR2Specs!$C$3</f>
        <v>#REF!</v>
      </c>
      <c r="W60" s="18"/>
      <c r="X60" s="534" t="e">
        <f t="shared" si="118"/>
        <v>#REF!</v>
      </c>
      <c r="Y60" s="447" t="e">
        <f t="shared" si="119"/>
        <v>#REF!</v>
      </c>
      <c r="Z60" s="18"/>
      <c r="AA60" s="441">
        <f t="shared" si="120"/>
        <v>3628.8900000000003</v>
      </c>
      <c r="AB60" s="441" t="e">
        <f t="shared" si="121"/>
        <v>#REF!</v>
      </c>
      <c r="AC60" s="441" t="e">
        <f>MAX(AC$53:AC$54)+IF($B$2="mil",1,0.0254)*DDR2Specs!$E$3</f>
        <v>#REF!</v>
      </c>
      <c r="AD60" s="441" t="e">
        <f>MIN(AC$53:AC$54)+IF($B$2="mil",1,0.0254)*DDR2Specs!$F$3</f>
        <v>#REF!</v>
      </c>
      <c r="AE60" s="18"/>
      <c r="AF60" s="534" t="e">
        <f t="shared" si="122"/>
        <v>#REF!</v>
      </c>
      <c r="AG60" s="447" t="e">
        <f t="shared" si="123"/>
        <v>#REF!</v>
      </c>
      <c r="AH60" s="18"/>
      <c r="AI60" s="441">
        <f t="shared" si="124"/>
        <v>3628.9400000000005</v>
      </c>
      <c r="AJ60" s="441" t="e">
        <f t="shared" si="125"/>
        <v>#REF!</v>
      </c>
      <c r="AK60" s="441" t="e">
        <f>MAX(AK$53:AK$54)+IF($B$2="mil",1,0.0254)*DDR2Specs!$E$3</f>
        <v>#REF!</v>
      </c>
      <c r="AL60" s="441" t="e">
        <f>MIN(AK$53:AK$54)+IF($B$2="mil",1,0.0254)*DDR2Specs!$F$3</f>
        <v>#REF!</v>
      </c>
      <c r="AM60" s="18"/>
      <c r="AN60" s="534" t="e">
        <f t="shared" si="126"/>
        <v>#REF!</v>
      </c>
      <c r="AO60" s="447" t="e">
        <f t="shared" si="127"/>
        <v>#REF!</v>
      </c>
      <c r="AP60" s="18"/>
      <c r="AQ60" s="447" t="e">
        <f t="shared" si="128"/>
        <v>#REF!</v>
      </c>
      <c r="AR60" s="447" t="e">
        <f t="shared" si="129"/>
        <v>#REF!</v>
      </c>
      <c r="AS60" s="447" t="e">
        <f t="shared" si="130"/>
        <v>#REF!</v>
      </c>
      <c r="AT60" s="447" t="e">
        <f t="shared" ca="1" si="131"/>
        <v>#NAME?</v>
      </c>
      <c r="AU60" s="447" t="e">
        <f t="shared" si="132"/>
        <v>#REF!</v>
      </c>
      <c r="AV60" s="447" t="e">
        <f t="shared" si="133"/>
        <v>#REF!</v>
      </c>
      <c r="AW60" s="447" t="e">
        <f t="shared" si="134"/>
        <v>#REF!</v>
      </c>
      <c r="AX60" s="447" t="e">
        <f t="shared" si="135"/>
        <v>#REF!</v>
      </c>
      <c r="AY60" s="447" t="e">
        <f t="shared" si="136"/>
        <v>#REF!</v>
      </c>
      <c r="AZ60" s="445" t="e">
        <f t="shared" si="137"/>
        <v>#REF!</v>
      </c>
      <c r="BA60" s="447" t="e">
        <f t="shared" ca="1" si="138"/>
        <v>#NAME?</v>
      </c>
      <c r="BB60" s="447" t="e">
        <f t="shared" ca="1" si="139"/>
        <v>#NAME?</v>
      </c>
      <c r="BC60" s="447" t="e">
        <f t="shared" si="140"/>
        <v>#REF!</v>
      </c>
      <c r="BD60" s="447" t="e">
        <f t="shared" si="141"/>
        <v>#REF!</v>
      </c>
      <c r="BE60" s="447" t="e">
        <f t="shared" si="142"/>
        <v>#REF!</v>
      </c>
      <c r="BF60" s="447" t="e">
        <f t="shared" si="143"/>
        <v>#REF!</v>
      </c>
      <c r="BG60" s="18"/>
      <c r="BH60" s="2" t="e">
        <f t="shared" ca="1" si="144"/>
        <v>#REF!</v>
      </c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</row>
    <row r="61" spans="1:76" x14ac:dyDescent="0.2">
      <c r="A61" s="560" t="s">
        <v>210</v>
      </c>
      <c r="B61" s="589" t="s">
        <v>529</v>
      </c>
      <c r="C61" s="584">
        <v>639.96062992125985</v>
      </c>
      <c r="D61" s="16"/>
      <c r="E61" s="17">
        <v>22.63</v>
      </c>
      <c r="F61" s="17">
        <v>0</v>
      </c>
      <c r="G61">
        <v>1405</v>
      </c>
      <c r="H61">
        <v>10</v>
      </c>
      <c r="I61">
        <v>761.84</v>
      </c>
      <c r="J61">
        <v>85.78</v>
      </c>
      <c r="K61" s="17">
        <v>40</v>
      </c>
      <c r="L61">
        <v>44.57</v>
      </c>
      <c r="M61">
        <v>1199.1400000000001</v>
      </c>
      <c r="N61" s="271">
        <v>0</v>
      </c>
      <c r="O61" s="271">
        <v>0</v>
      </c>
      <c r="P61">
        <v>97.27</v>
      </c>
      <c r="Q61">
        <v>97.3</v>
      </c>
      <c r="R61" s="58"/>
      <c r="S61" s="441">
        <f t="shared" si="116"/>
        <v>1437.63</v>
      </c>
      <c r="T61" s="441" t="e">
        <f t="shared" si="117"/>
        <v>#REF!</v>
      </c>
      <c r="U61" s="441" t="e">
        <f>MAX(U$53:U$54)+IF($B$2="mil",1,0.0254)*DDR2Specs!$B$3</f>
        <v>#REF!</v>
      </c>
      <c r="V61" s="441" t="e">
        <f>MIN(U$53:U$54)+IF($B$2="mil",1,0.0254)*DDR2Specs!$C$3</f>
        <v>#REF!</v>
      </c>
      <c r="W61" s="18"/>
      <c r="X61" s="534" t="e">
        <f t="shared" si="118"/>
        <v>#REF!</v>
      </c>
      <c r="Y61" s="447" t="e">
        <f t="shared" si="119"/>
        <v>#REF!</v>
      </c>
      <c r="Z61" s="18"/>
      <c r="AA61" s="441">
        <f t="shared" si="120"/>
        <v>3656.2300000000009</v>
      </c>
      <c r="AB61" s="441" t="e">
        <f t="shared" si="121"/>
        <v>#REF!</v>
      </c>
      <c r="AC61" s="441" t="e">
        <f>MAX(AC$53:AC$54)+IF($B$2="mil",1,0.0254)*DDR2Specs!$E$3</f>
        <v>#REF!</v>
      </c>
      <c r="AD61" s="441" t="e">
        <f>MIN(AC$53:AC$54)+IF($B$2="mil",1,0.0254)*DDR2Specs!$F$3</f>
        <v>#REF!</v>
      </c>
      <c r="AE61" s="18"/>
      <c r="AF61" s="534" t="e">
        <f t="shared" si="122"/>
        <v>#REF!</v>
      </c>
      <c r="AG61" s="447" t="e">
        <f t="shared" si="123"/>
        <v>#REF!</v>
      </c>
      <c r="AH61" s="18"/>
      <c r="AI61" s="441">
        <f t="shared" si="124"/>
        <v>3656.2600000000011</v>
      </c>
      <c r="AJ61" s="441" t="e">
        <f t="shared" si="125"/>
        <v>#REF!</v>
      </c>
      <c r="AK61" s="441" t="e">
        <f>MAX(AK$53:AK$54)+IF($B$2="mil",1,0.0254)*DDR2Specs!$E$3</f>
        <v>#REF!</v>
      </c>
      <c r="AL61" s="441" t="e">
        <f>MIN(AK$53:AK$54)+IF($B$2="mil",1,0.0254)*DDR2Specs!$F$3</f>
        <v>#REF!</v>
      </c>
      <c r="AM61" s="18"/>
      <c r="AN61" s="534" t="e">
        <f t="shared" si="126"/>
        <v>#REF!</v>
      </c>
      <c r="AO61" s="447" t="e">
        <f t="shared" si="127"/>
        <v>#REF!</v>
      </c>
      <c r="AP61" s="18"/>
      <c r="AQ61" s="447" t="e">
        <f t="shared" si="128"/>
        <v>#REF!</v>
      </c>
      <c r="AR61" s="447" t="e">
        <f t="shared" si="129"/>
        <v>#REF!</v>
      </c>
      <c r="AS61" s="447" t="e">
        <f t="shared" si="130"/>
        <v>#REF!</v>
      </c>
      <c r="AT61" s="447" t="e">
        <f t="shared" ca="1" si="131"/>
        <v>#NAME?</v>
      </c>
      <c r="AU61" s="447" t="e">
        <f t="shared" si="132"/>
        <v>#REF!</v>
      </c>
      <c r="AV61" s="447" t="e">
        <f t="shared" si="133"/>
        <v>#REF!</v>
      </c>
      <c r="AW61" s="447" t="e">
        <f t="shared" si="134"/>
        <v>#REF!</v>
      </c>
      <c r="AX61" s="447" t="e">
        <f t="shared" si="135"/>
        <v>#REF!</v>
      </c>
      <c r="AY61" s="447" t="e">
        <f t="shared" si="136"/>
        <v>#REF!</v>
      </c>
      <c r="AZ61" s="445" t="e">
        <f t="shared" si="137"/>
        <v>#REF!</v>
      </c>
      <c r="BA61" s="447" t="e">
        <f t="shared" ca="1" si="138"/>
        <v>#NAME?</v>
      </c>
      <c r="BB61" s="447" t="e">
        <f t="shared" ca="1" si="139"/>
        <v>#NAME?</v>
      </c>
      <c r="BC61" s="447" t="e">
        <f t="shared" si="140"/>
        <v>#REF!</v>
      </c>
      <c r="BD61" s="447" t="e">
        <f t="shared" si="141"/>
        <v>#REF!</v>
      </c>
      <c r="BE61" s="447" t="e">
        <f t="shared" si="142"/>
        <v>#REF!</v>
      </c>
      <c r="BF61" s="447" t="e">
        <f t="shared" si="143"/>
        <v>#REF!</v>
      </c>
      <c r="BG61" s="18"/>
      <c r="BH61" s="2" t="e">
        <f t="shared" ca="1" si="144"/>
        <v>#REF!</v>
      </c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</row>
    <row r="62" spans="1:76" x14ac:dyDescent="0.2">
      <c r="A62" s="560" t="s">
        <v>211</v>
      </c>
      <c r="B62" s="589" t="s">
        <v>530</v>
      </c>
      <c r="C62" s="584">
        <v>696.29921259842524</v>
      </c>
      <c r="D62" s="16"/>
      <c r="E62" s="17">
        <v>22.63</v>
      </c>
      <c r="F62" s="17">
        <v>0</v>
      </c>
      <c r="G62">
        <v>1360</v>
      </c>
      <c r="H62">
        <v>0</v>
      </c>
      <c r="I62">
        <v>810.56</v>
      </c>
      <c r="J62">
        <v>32.5</v>
      </c>
      <c r="K62" s="17">
        <v>40</v>
      </c>
      <c r="L62">
        <v>85.78</v>
      </c>
      <c r="M62">
        <v>1131.05</v>
      </c>
      <c r="N62" s="271">
        <v>0</v>
      </c>
      <c r="O62" s="271">
        <v>0</v>
      </c>
      <c r="P62">
        <v>116.74</v>
      </c>
      <c r="Q62">
        <v>116.71</v>
      </c>
      <c r="R62" s="58"/>
      <c r="S62" s="441">
        <f t="shared" si="116"/>
        <v>1382.63</v>
      </c>
      <c r="T62" s="441" t="e">
        <f t="shared" si="117"/>
        <v>#REF!</v>
      </c>
      <c r="U62" s="441" t="e">
        <f>MAX(U$53:U$54)+IF($B$2="mil",1,0.0254)*DDR2Specs!$B$3</f>
        <v>#REF!</v>
      </c>
      <c r="V62" s="441" t="e">
        <f>MIN(U$53:U$54)+IF($B$2="mil",1,0.0254)*DDR2Specs!$C$3</f>
        <v>#REF!</v>
      </c>
      <c r="W62" s="18"/>
      <c r="X62" s="534" t="e">
        <f t="shared" si="118"/>
        <v>#REF!</v>
      </c>
      <c r="Y62" s="447" t="e">
        <f t="shared" si="119"/>
        <v>#REF!</v>
      </c>
      <c r="Z62" s="18"/>
      <c r="AA62" s="441">
        <f t="shared" si="120"/>
        <v>3599.26</v>
      </c>
      <c r="AB62" s="441" t="e">
        <f t="shared" si="121"/>
        <v>#REF!</v>
      </c>
      <c r="AC62" s="441" t="e">
        <f>MAX(AC$53:AC$54)+IF($B$2="mil",1,0.0254)*DDR2Specs!$E$3</f>
        <v>#REF!</v>
      </c>
      <c r="AD62" s="441" t="e">
        <f>MIN(AC$53:AC$54)+IF($B$2="mil",1,0.0254)*DDR2Specs!$F$3</f>
        <v>#REF!</v>
      </c>
      <c r="AE62" s="18"/>
      <c r="AF62" s="534" t="e">
        <f t="shared" si="122"/>
        <v>#REF!</v>
      </c>
      <c r="AG62" s="447" t="e">
        <f t="shared" si="123"/>
        <v>#REF!</v>
      </c>
      <c r="AH62" s="18"/>
      <c r="AI62" s="441">
        <f t="shared" si="124"/>
        <v>3599.2300000000005</v>
      </c>
      <c r="AJ62" s="441" t="e">
        <f t="shared" si="125"/>
        <v>#REF!</v>
      </c>
      <c r="AK62" s="441" t="e">
        <f>MAX(AK$53:AK$54)+IF($B$2="mil",1,0.0254)*DDR2Specs!$E$3</f>
        <v>#REF!</v>
      </c>
      <c r="AL62" s="441" t="e">
        <f>MIN(AK$53:AK$54)+IF($B$2="mil",1,0.0254)*DDR2Specs!$F$3</f>
        <v>#REF!</v>
      </c>
      <c r="AM62" s="18"/>
      <c r="AN62" s="534" t="e">
        <f t="shared" si="126"/>
        <v>#REF!</v>
      </c>
      <c r="AO62" s="447" t="e">
        <f t="shared" si="127"/>
        <v>#REF!</v>
      </c>
      <c r="AP62" s="18"/>
      <c r="AQ62" s="447" t="e">
        <f t="shared" si="128"/>
        <v>#REF!</v>
      </c>
      <c r="AR62" s="447" t="e">
        <f t="shared" si="129"/>
        <v>#REF!</v>
      </c>
      <c r="AS62" s="447" t="e">
        <f t="shared" si="130"/>
        <v>#REF!</v>
      </c>
      <c r="AT62" s="447" t="e">
        <f t="shared" ca="1" si="131"/>
        <v>#NAME?</v>
      </c>
      <c r="AU62" s="447" t="e">
        <f t="shared" si="132"/>
        <v>#REF!</v>
      </c>
      <c r="AV62" s="447" t="e">
        <f t="shared" si="133"/>
        <v>#REF!</v>
      </c>
      <c r="AW62" s="447" t="e">
        <f t="shared" si="134"/>
        <v>#REF!</v>
      </c>
      <c r="AX62" s="447" t="e">
        <f t="shared" si="135"/>
        <v>#REF!</v>
      </c>
      <c r="AY62" s="447" t="e">
        <f t="shared" si="136"/>
        <v>#REF!</v>
      </c>
      <c r="AZ62" s="445" t="e">
        <f t="shared" si="137"/>
        <v>#REF!</v>
      </c>
      <c r="BA62" s="447" t="e">
        <f t="shared" ca="1" si="138"/>
        <v>#NAME?</v>
      </c>
      <c r="BB62" s="447" t="e">
        <f t="shared" ca="1" si="139"/>
        <v>#NAME?</v>
      </c>
      <c r="BC62" s="447" t="e">
        <f t="shared" si="140"/>
        <v>#REF!</v>
      </c>
      <c r="BD62" s="447" t="e">
        <f t="shared" si="141"/>
        <v>#REF!</v>
      </c>
      <c r="BE62" s="447" t="e">
        <f t="shared" si="142"/>
        <v>#REF!</v>
      </c>
      <c r="BF62" s="447" t="e">
        <f t="shared" si="143"/>
        <v>#REF!</v>
      </c>
      <c r="BG62" s="18"/>
      <c r="BH62" s="2" t="e">
        <f t="shared" ca="1" si="144"/>
        <v>#REF!</v>
      </c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</row>
    <row r="63" spans="1:76" x14ac:dyDescent="0.2">
      <c r="A63" s="560" t="s">
        <v>212</v>
      </c>
      <c r="B63" s="590" t="s">
        <v>158</v>
      </c>
      <c r="C63" s="584">
        <v>755</v>
      </c>
      <c r="D63" s="16"/>
      <c r="E63" s="17">
        <v>22.63</v>
      </c>
      <c r="F63" s="17">
        <v>0</v>
      </c>
      <c r="G63">
        <v>1317</v>
      </c>
      <c r="H63">
        <v>0</v>
      </c>
      <c r="I63">
        <v>781.51</v>
      </c>
      <c r="J63">
        <v>44.57</v>
      </c>
      <c r="K63" s="17">
        <v>40</v>
      </c>
      <c r="L63">
        <v>85.78</v>
      </c>
      <c r="M63">
        <v>1180.97</v>
      </c>
      <c r="N63" s="271">
        <v>0</v>
      </c>
      <c r="O63" s="271">
        <v>0</v>
      </c>
      <c r="P63">
        <v>69.45</v>
      </c>
      <c r="Q63">
        <v>72.95</v>
      </c>
      <c r="R63" s="58"/>
      <c r="S63" s="441">
        <f t="shared" si="116"/>
        <v>1339.63</v>
      </c>
      <c r="T63" s="441" t="e">
        <f t="shared" si="117"/>
        <v>#REF!</v>
      </c>
      <c r="U63" s="441" t="e">
        <f>MAX(U$53:U$54)+IF($B$2="mil",1,0.0254)*DDR2Specs!$B$3</f>
        <v>#REF!</v>
      </c>
      <c r="V63" s="441" t="e">
        <f>MIN(U$53:U$54)+IF($B$2="mil",1,0.0254)*DDR2Specs!$C$3</f>
        <v>#REF!</v>
      </c>
      <c r="W63" s="18"/>
      <c r="X63" s="534" t="e">
        <f t="shared" si="118"/>
        <v>#REF!</v>
      </c>
      <c r="Y63" s="447" t="e">
        <f t="shared" si="119"/>
        <v>#REF!</v>
      </c>
      <c r="Z63" s="18"/>
      <c r="AA63" s="441">
        <f t="shared" si="120"/>
        <v>3541.9100000000008</v>
      </c>
      <c r="AB63" s="441" t="e">
        <f t="shared" si="121"/>
        <v>#REF!</v>
      </c>
      <c r="AC63" s="441" t="e">
        <f>MAX(AC$53:AC$54)+IF($B$2="mil",1,0.0254)*DDR2Specs!$E$3</f>
        <v>#REF!</v>
      </c>
      <c r="AD63" s="441" t="e">
        <f>MIN(AC$53:AC$54)+IF($B$2="mil",1,0.0254)*DDR2Specs!$F$3</f>
        <v>#REF!</v>
      </c>
      <c r="AE63" s="18"/>
      <c r="AF63" s="534" t="e">
        <f t="shared" si="122"/>
        <v>#REF!</v>
      </c>
      <c r="AG63" s="447" t="e">
        <f t="shared" si="123"/>
        <v>#REF!</v>
      </c>
      <c r="AH63" s="18"/>
      <c r="AI63" s="441">
        <f t="shared" si="124"/>
        <v>3545.4100000000008</v>
      </c>
      <c r="AJ63" s="441" t="e">
        <f t="shared" si="125"/>
        <v>#REF!</v>
      </c>
      <c r="AK63" s="441" t="e">
        <f>MAX(AK$53:AK$54)+IF($B$2="mil",1,0.0254)*DDR2Specs!$E$3</f>
        <v>#REF!</v>
      </c>
      <c r="AL63" s="441" t="e">
        <f>MIN(AK$53:AK$54)+IF($B$2="mil",1,0.0254)*DDR2Specs!$F$3</f>
        <v>#REF!</v>
      </c>
      <c r="AM63" s="18"/>
      <c r="AN63" s="534" t="e">
        <f t="shared" si="126"/>
        <v>#REF!</v>
      </c>
      <c r="AO63" s="447" t="e">
        <f t="shared" si="127"/>
        <v>#REF!</v>
      </c>
      <c r="AP63" s="18"/>
      <c r="AQ63" s="447" t="e">
        <f t="shared" si="128"/>
        <v>#REF!</v>
      </c>
      <c r="AR63" s="447" t="e">
        <f t="shared" si="129"/>
        <v>#REF!</v>
      </c>
      <c r="AS63" s="447" t="e">
        <f t="shared" si="130"/>
        <v>#REF!</v>
      </c>
      <c r="AT63" s="447" t="e">
        <f t="shared" ca="1" si="131"/>
        <v>#NAME?</v>
      </c>
      <c r="AU63" s="447" t="e">
        <f t="shared" si="132"/>
        <v>#REF!</v>
      </c>
      <c r="AV63" s="447" t="e">
        <f t="shared" si="133"/>
        <v>#REF!</v>
      </c>
      <c r="AW63" s="447" t="e">
        <f t="shared" si="134"/>
        <v>#REF!</v>
      </c>
      <c r="AX63" s="447" t="e">
        <f t="shared" si="135"/>
        <v>#REF!</v>
      </c>
      <c r="AY63" s="447" t="e">
        <f t="shared" si="136"/>
        <v>#REF!</v>
      </c>
      <c r="AZ63" s="445" t="e">
        <f t="shared" si="137"/>
        <v>#REF!</v>
      </c>
      <c r="BA63" s="447" t="e">
        <f t="shared" ca="1" si="138"/>
        <v>#NAME?</v>
      </c>
      <c r="BB63" s="447" t="e">
        <f t="shared" ca="1" si="139"/>
        <v>#NAME?</v>
      </c>
      <c r="BC63" s="447" t="e">
        <f t="shared" si="140"/>
        <v>#REF!</v>
      </c>
      <c r="BD63" s="447" t="e">
        <f t="shared" si="141"/>
        <v>#REF!</v>
      </c>
      <c r="BE63" s="447" t="e">
        <f t="shared" si="142"/>
        <v>#REF!</v>
      </c>
      <c r="BF63" s="447" t="e">
        <f t="shared" si="143"/>
        <v>#REF!</v>
      </c>
      <c r="BG63" s="18"/>
      <c r="BH63" s="2" t="e">
        <f t="shared" ca="1" si="144"/>
        <v>#REF!</v>
      </c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</row>
    <row r="64" spans="1:76" x14ac:dyDescent="0.2">
      <c r="A64" s="563" t="s">
        <v>250</v>
      </c>
      <c r="B64" s="591"/>
      <c r="C64" s="585"/>
      <c r="D64" s="51"/>
      <c r="E64" s="68"/>
      <c r="F64" s="68"/>
      <c r="G64" s="394"/>
      <c r="H64" s="265"/>
      <c r="I64" s="265"/>
      <c r="J64" s="265"/>
      <c r="K64" s="265"/>
      <c r="L64" s="265"/>
      <c r="M64" s="265"/>
      <c r="N64" s="265"/>
      <c r="O64" s="265"/>
      <c r="P64" s="265"/>
      <c r="Q64" s="265"/>
      <c r="R64" s="8"/>
      <c r="S64" s="68"/>
      <c r="T64" s="539"/>
      <c r="U64" s="539"/>
      <c r="V64" s="540"/>
      <c r="W64" s="540"/>
      <c r="X64" s="541"/>
      <c r="Y64" s="15"/>
      <c r="Z64" s="540"/>
      <c r="AA64" s="68"/>
      <c r="AB64" s="539"/>
      <c r="AC64" s="539"/>
      <c r="AD64" s="540"/>
      <c r="AE64" s="540"/>
      <c r="AF64" s="541"/>
      <c r="AG64" s="15"/>
      <c r="AH64" s="540"/>
      <c r="AI64" s="68"/>
      <c r="AJ64" s="539"/>
      <c r="AK64" s="539"/>
      <c r="AL64" s="540"/>
      <c r="AM64" s="540"/>
      <c r="AN64" s="541"/>
      <c r="AO64" s="15"/>
      <c r="AP64" s="540"/>
      <c r="AQ64" s="15"/>
      <c r="AR64" s="15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69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</row>
    <row r="65" spans="1:76" x14ac:dyDescent="0.2">
      <c r="A65" s="576" t="str">
        <f>'DDR2 Strobes - 2x16_1R SODIMM'!$A$32</f>
        <v>SA_DQS5</v>
      </c>
      <c r="B65" s="592" t="str">
        <f>'DDR2 Strobes - 2x16_1R SODIMM'!$B$32</f>
        <v>AB16</v>
      </c>
      <c r="C65" s="586"/>
      <c r="D65" s="44"/>
      <c r="E65" s="67"/>
      <c r="F65" s="67"/>
      <c r="G65" s="602"/>
      <c r="H65" s="603"/>
      <c r="I65" s="603"/>
      <c r="J65" s="603"/>
      <c r="K65" s="603"/>
      <c r="L65" s="603"/>
      <c r="M65" s="603"/>
      <c r="N65" s="603"/>
      <c r="O65" s="603"/>
      <c r="P65" s="603"/>
      <c r="Q65" s="603"/>
      <c r="R65" s="67"/>
      <c r="S65" s="67"/>
      <c r="T65" s="48"/>
      <c r="U65" s="48" t="e">
        <f>'DDR2 Strobes - 2x16_1R SODIMM'!$U$32</f>
        <v>#REF!</v>
      </c>
      <c r="V65" s="48"/>
      <c r="W65" s="48"/>
      <c r="X65" s="48"/>
      <c r="Y65" s="542"/>
      <c r="Z65" s="48"/>
      <c r="AA65" s="67"/>
      <c r="AB65" s="48"/>
      <c r="AC65" s="48" t="e">
        <f>'DDR2 Strobes - 2x16_1R SODIMM'!$AD$32</f>
        <v>#REF!</v>
      </c>
      <c r="AD65" s="48"/>
      <c r="AE65" s="48"/>
      <c r="AF65" s="48"/>
      <c r="AG65" s="542"/>
      <c r="AH65" s="48"/>
      <c r="AI65" s="67"/>
      <c r="AJ65" s="48"/>
      <c r="AK65" s="48" t="e">
        <f>'DDR2 Strobes - 2x16_1R SODIMM'!$AL$32</f>
        <v>#REF!</v>
      </c>
      <c r="AL65" s="48"/>
      <c r="AM65" s="48"/>
      <c r="AN65" s="48"/>
      <c r="AO65" s="542"/>
      <c r="AP65" s="48"/>
      <c r="AQ65" s="542"/>
      <c r="AR65" s="542"/>
      <c r="AS65" s="542"/>
      <c r="AT65" s="542"/>
      <c r="AU65" s="542"/>
      <c r="AV65" s="542"/>
      <c r="AW65" s="542"/>
      <c r="AX65" s="542"/>
      <c r="AY65" s="542"/>
      <c r="AZ65" s="542"/>
      <c r="BA65" s="542"/>
      <c r="BB65" s="542"/>
      <c r="BC65" s="542"/>
      <c r="BD65" s="542"/>
      <c r="BE65" s="542"/>
      <c r="BF65" s="542"/>
      <c r="BG65" s="48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</row>
    <row r="66" spans="1:76" x14ac:dyDescent="0.2">
      <c r="A66" s="576" t="str">
        <f>'DDR2 Strobes - 2x16_1R SODIMM'!$A$33</f>
        <v>SA_DQS5#</v>
      </c>
      <c r="B66" s="592" t="str">
        <f>'DDR2 Strobes - 2x16_1R SODIMM'!$B$33</f>
        <v>AB15</v>
      </c>
      <c r="C66" s="586"/>
      <c r="D66" s="44"/>
      <c r="E66" s="67"/>
      <c r="F66" s="67"/>
      <c r="G66" s="602"/>
      <c r="H66" s="603"/>
      <c r="I66" s="603"/>
      <c r="J66" s="603"/>
      <c r="K66" s="603"/>
      <c r="L66" s="603"/>
      <c r="M66" s="603"/>
      <c r="N66" s="603"/>
      <c r="O66" s="603"/>
      <c r="P66" s="603"/>
      <c r="Q66" s="603"/>
      <c r="R66" s="67"/>
      <c r="S66" s="67"/>
      <c r="T66" s="537"/>
      <c r="U66" s="48" t="e">
        <f>'DDR2 Strobes - 2x16_1R SODIMM'!$U$33</f>
        <v>#REF!</v>
      </c>
      <c r="V66" s="48"/>
      <c r="W66" s="48"/>
      <c r="X66" s="48"/>
      <c r="Y66" s="542"/>
      <c r="Z66" s="48"/>
      <c r="AA66" s="536"/>
      <c r="AB66" s="537"/>
      <c r="AC66" s="48" t="e">
        <f>'DDR2 Strobes - 2x16_1R SODIMM'!$AD$33</f>
        <v>#REF!</v>
      </c>
      <c r="AD66" s="48"/>
      <c r="AE66" s="48"/>
      <c r="AF66" s="48"/>
      <c r="AG66" s="542"/>
      <c r="AH66" s="48"/>
      <c r="AI66" s="536"/>
      <c r="AJ66" s="537"/>
      <c r="AK66" s="48" t="e">
        <f>'DDR2 Strobes - 2x16_1R SODIMM'!$AL$33</f>
        <v>#REF!</v>
      </c>
      <c r="AL66" s="48"/>
      <c r="AM66" s="48"/>
      <c r="AN66" s="48"/>
      <c r="AO66" s="542"/>
      <c r="AP66" s="48"/>
      <c r="AQ66" s="542"/>
      <c r="AR66" s="542"/>
      <c r="AS66" s="543"/>
      <c r="AT66" s="543"/>
      <c r="AU66" s="543"/>
      <c r="AV66" s="543"/>
      <c r="AW66" s="543"/>
      <c r="AX66" s="543"/>
      <c r="AY66" s="543"/>
      <c r="AZ66" s="543"/>
      <c r="BA66" s="543"/>
      <c r="BB66" s="543"/>
      <c r="BC66" s="543"/>
      <c r="BD66" s="543"/>
      <c r="BE66" s="543"/>
      <c r="BF66" s="543"/>
      <c r="BG66" s="48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</row>
    <row r="67" spans="1:76" x14ac:dyDescent="0.2">
      <c r="A67" s="560" t="s">
        <v>213</v>
      </c>
      <c r="B67" s="589" t="s">
        <v>387</v>
      </c>
      <c r="C67" s="584">
        <v>714.1338582677165</v>
      </c>
      <c r="D67" s="16"/>
      <c r="E67" s="17">
        <v>22.63</v>
      </c>
      <c r="F67" s="17">
        <v>0</v>
      </c>
      <c r="G67">
        <v>1423.05</v>
      </c>
      <c r="H67">
        <v>60</v>
      </c>
      <c r="I67">
        <v>827.1</v>
      </c>
      <c r="J67">
        <v>44.57</v>
      </c>
      <c r="K67" s="17">
        <v>40</v>
      </c>
      <c r="L67">
        <v>77.5</v>
      </c>
      <c r="M67">
        <v>1195.94</v>
      </c>
      <c r="N67" s="271">
        <v>0</v>
      </c>
      <c r="O67" s="271">
        <v>0</v>
      </c>
      <c r="P67">
        <v>65.849999999999994</v>
      </c>
      <c r="Q67">
        <v>65.819999999999993</v>
      </c>
      <c r="R67" s="58"/>
      <c r="S67" s="441">
        <f t="shared" ref="S67:S75" si="145" xml:space="preserve"> E67+F67+G67+H67</f>
        <v>1505.68</v>
      </c>
      <c r="T67" s="441" t="e">
        <f t="shared" ref="T67:T75" si="146">S67+IF($B$2="mil",1,0.0254)*C67</f>
        <v>#REF!</v>
      </c>
      <c r="U67" s="441" t="e">
        <f>MAX(U$65:U$66)+IF($B$2="mil",1,0.0254)*DDR2Specs!$B$3</f>
        <v>#REF!</v>
      </c>
      <c r="V67" s="441" t="e">
        <f>MIN(U$65:U$66)+IF($B$2="mil",1,0.0254)*DDR2Specs!$C$3</f>
        <v>#REF!</v>
      </c>
      <c r="W67" s="18"/>
      <c r="X67" s="534" t="e">
        <f t="shared" ref="X67:X75" si="147">IF($T67&lt;$U67,$U67-$T67,"Pass")</f>
        <v>#REF!</v>
      </c>
      <c r="Y67" s="447" t="e">
        <f t="shared" ref="Y67:Y75" si="148">IF($T67&gt;$V67,$T67-$V67,"Pass")</f>
        <v>#REF!</v>
      </c>
      <c r="Z67" s="18"/>
      <c r="AA67" s="441">
        <f t="shared" ref="AA67:AA75" si="149">SUM(E67:G67,I67:N67,P67)</f>
        <v>3696.6400000000003</v>
      </c>
      <c r="AB67" s="441" t="e">
        <f t="shared" ref="AB67:AB75" si="150">AA67+IF($B$2="mil",1,0.0254)*$C67</f>
        <v>#REF!</v>
      </c>
      <c r="AC67" s="441" t="e">
        <f>MAX(AC$65:AC$66)+IF($B$2="mil",1,0.0254)*DDR2Specs!$E$3</f>
        <v>#REF!</v>
      </c>
      <c r="AD67" s="441" t="e">
        <f>MIN(AC$65:AC$66)+IF($B$2="mil",1,0.0254)*DDR2Specs!$F$3</f>
        <v>#REF!</v>
      </c>
      <c r="AE67" s="18"/>
      <c r="AF67" s="534" t="e">
        <f t="shared" ref="AF67:AF75" si="151">IF($AB67&lt;$AC67,$AC67-$AB67,"Pass")</f>
        <v>#REF!</v>
      </c>
      <c r="AG67" s="447" t="e">
        <f t="shared" ref="AG67:AG75" si="152">IF($AB67&gt;$AD67,$AB67-$AD67,"Pass")</f>
        <v>#REF!</v>
      </c>
      <c r="AH67" s="18"/>
      <c r="AI67" s="441">
        <f t="shared" ref="AI67:AI75" si="153">SUM(E67:G67,I67:M67,O67,Q67)</f>
        <v>3696.6100000000006</v>
      </c>
      <c r="AJ67" s="441" t="e">
        <f t="shared" ref="AJ67:AJ75" si="154">AI67+IF($B$2="mil",1,0.0254)*$C67</f>
        <v>#REF!</v>
      </c>
      <c r="AK67" s="441" t="e">
        <f>MAX(AK$65:AK$66)+IF($B$2="mil",1,0.0254)*DDR2Specs!$E$3</f>
        <v>#REF!</v>
      </c>
      <c r="AL67" s="441" t="e">
        <f>MIN(AK$65:AK$66)+IF($B$2="mil",1,0.0254)*DDR2Specs!$F$3</f>
        <v>#REF!</v>
      </c>
      <c r="AM67" s="18"/>
      <c r="AN67" s="534" t="e">
        <f t="shared" ref="AN67:AN75" si="155">IF($AJ67&lt;$AK67,$AK67-$AJ67,"Pass")</f>
        <v>#REF!</v>
      </c>
      <c r="AO67" s="447" t="e">
        <f t="shared" ref="AO67:AO75" si="156">IF($AJ67&gt;$AL67,$AJ67-$AL67,"Pass")</f>
        <v>#REF!</v>
      </c>
      <c r="AP67" s="18"/>
      <c r="AQ67" s="447" t="e">
        <f t="shared" ref="AQ67:AQ75" si="157">IF($E67&lt;=IF($B$2="mil",1,0.0254)*50,"Pass",IF($B$2="mil",1,0.0254)*50-$E67)</f>
        <v>#REF!</v>
      </c>
      <c r="AR67" s="447" t="e">
        <f t="shared" ref="AR67:AR75" si="158">IF($F67&lt;=IF($B$2="mil",1,0.0254)*500,"Pass",IF($B$2="mil",1,0.0254)*500-$F67)</f>
        <v>#REF!</v>
      </c>
      <c r="AS67" s="447" t="e">
        <f t="shared" ref="AS67:AS75" si="159">IF($H67&lt;=IF($B$2="mil",1,0.0254)*250,"Pass",IF($B$2="mil",1,0.0254)*250-$H67)</f>
        <v>#REF!</v>
      </c>
      <c r="AT67" s="447" t="e">
        <f t="shared" ref="AT67:AT75" ca="1" si="160">CheckLength(IF($B$2="mil",1,0.0254)*750, IF($B$2="mil",1,0.0254)*125-J67, 0, I67,J67,0)</f>
        <v>#NAME?</v>
      </c>
      <c r="AU67" s="447" t="e">
        <f t="shared" ref="AU67:AU75" si="161">IF($J67&lt;=IF($B$2="mil",1,0.0254)*125,"Pass",IF($B$2="mil",1,0.0254)*125-$J67)</f>
        <v>#REF!</v>
      </c>
      <c r="AV67" s="447" t="e">
        <f t="shared" ref="AV67:AV75" si="162">IF($L67&lt;=IF($B$2="mil",1,0.0254)*125,"Pass",IF($B$2="mil",1,0.0254)*125-$L67)</f>
        <v>#REF!</v>
      </c>
      <c r="AW67" s="447" t="e">
        <f t="shared" ref="AW67:AW75" si="163">IF(($L67+$M67)&lt;=IF($B$2="mil",1,0.0254)*1275,"Pass",IF($B$2="mil",1,0.0254)*1275-($L67+H67))</f>
        <v>#REF!</v>
      </c>
      <c r="AX67" s="447" t="e">
        <f t="shared" ref="AX67:AX75" si="164">IF($N67&lt;=IF($B$2="mil",1,0.0254)*150,"Pass",IF($B$2="mil",1,0.0254)*150-$N67)</f>
        <v>#REF!</v>
      </c>
      <c r="AY67" s="447" t="e">
        <f t="shared" ref="AY67:AY75" si="165">IF($O67&lt;=IF($B$2="mil",1,0.0254)*150,"Pass",IF($B$2="mil",1,0.0254)*150-$O67)</f>
        <v>#REF!</v>
      </c>
      <c r="AZ67" s="445" t="e">
        <f t="shared" ref="AZ67:AZ75" si="166">IF(MAX(N67:O67)-MIN(N67:O67)&lt;=IF($B$2="mil",1,0.0254)*50,"Pass",MAX(N67:O67)-MIN(N67:O67)-IF($B$2="mil",1,0.0254)*50)</f>
        <v>#REF!</v>
      </c>
      <c r="BA67" s="447" t="e">
        <f t="shared" ref="BA67:BA75" ca="1" si="167">CheckLength2(IF($B$2="mil",1,0.0254)*200,$P67,N67,0)</f>
        <v>#NAME?</v>
      </c>
      <c r="BB67" s="447" t="e">
        <f t="shared" ref="BB67:BB75" ca="1" si="168">CheckLength2(IF($B$2="mil",1,0.0254)*200,$Q67,O67,0)</f>
        <v>#NAME?</v>
      </c>
      <c r="BC67" s="447" t="e">
        <f t="shared" ref="BC67:BC75" si="169">IF(AND($S67&gt;=IF($B$2="mil",1,0.0254)*500, $S67&lt;=IF($B$2="mil",1,0.0254)*4000),"Pass",IF($B$2="mil",1,0.0254)*4000-$S67)</f>
        <v>#REF!</v>
      </c>
      <c r="BD67" s="447" t="e">
        <f t="shared" ref="BD67:BD75" si="170">IF(AND($T67&gt;=IF($B$2="mil",1,0.0254)*500, $T67&lt;=IF($B$2="mil",1,0.0254)*4500),"Pass",IF($B$2="mil",1,0.0254)*4500-$T67)</f>
        <v>#REF!</v>
      </c>
      <c r="BE67" s="447" t="e">
        <f t="shared" ref="BE67:BE75" si="171">IF(AND($AA67&gt;=IF($B$2="mil",1,0.0254)*500, $AA67&lt;=IF($B$2="mil",1,0.0254)*5500),"Pass",IF($B$2="mil",1,0.0254)*5500-$AA67)</f>
        <v>#REF!</v>
      </c>
      <c r="BF67" s="447" t="e">
        <f t="shared" ref="BF67:BF75" si="172">IF(AND($AB67&gt;=IF($B$2="mil",1,0.0254)*500, $AB67&lt;=IF($B$2="mil",1,0.0254)*6000),"Pass",IF($B$2="mil",1,0.0254)*6000-$AB67)</f>
        <v>#REF!</v>
      </c>
      <c r="BG67" s="18"/>
      <c r="BH67" s="2" t="e">
        <f t="shared" ref="BH67:BH75" ca="1" si="173">IF(AND(AN67="Pass",AO67="Pass",AQ67="Pass",BD67="Pass",AS67="Pass",AR67="Pass",BC67="Pass",X67="Pass",Y67="Pass",BB67="Pass",AW67="Pass",AX67="Pass",AY67="Pass",AZ67="Pass",BA67="Pass",AV67="Pass",AU67="Pass",AT67="Pass",AF67="Pass",AG67="Pass",BE67="Pass",BF67="Pass"),"Pass","Fail")</f>
        <v>#REF!</v>
      </c>
      <c r="BI67" s="2" t="e">
        <f ca="1">IF(AND(BH67="Pass",BH68="Pass",BH69="Pass",BH70="Pass",BH71="Pass",BH72="Pass",BH73="Pass",BH74="Pass",BH75="Pass"),"Pass","Fail")</f>
        <v>#REF!</v>
      </c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</row>
    <row r="68" spans="1:76" x14ac:dyDescent="0.2">
      <c r="A68" s="560" t="s">
        <v>214</v>
      </c>
      <c r="B68" s="593" t="s">
        <v>389</v>
      </c>
      <c r="C68" s="584">
        <v>754.9212598425197</v>
      </c>
      <c r="D68" s="16"/>
      <c r="E68" s="17">
        <v>22.63</v>
      </c>
      <c r="F68" s="17">
        <v>0</v>
      </c>
      <c r="G68">
        <v>1417.67</v>
      </c>
      <c r="H68">
        <v>30</v>
      </c>
      <c r="I68">
        <v>761.84</v>
      </c>
      <c r="J68">
        <v>85.78</v>
      </c>
      <c r="K68" s="17">
        <v>40</v>
      </c>
      <c r="L68">
        <v>44.57</v>
      </c>
      <c r="M68">
        <v>1199.1400000000001</v>
      </c>
      <c r="N68" s="271">
        <v>0</v>
      </c>
      <c r="O68" s="271">
        <v>0</v>
      </c>
      <c r="P68">
        <v>97.27</v>
      </c>
      <c r="Q68">
        <v>97.3</v>
      </c>
      <c r="R68" s="58"/>
      <c r="S68" s="441">
        <f t="shared" si="145"/>
        <v>1470.3000000000002</v>
      </c>
      <c r="T68" s="441" t="e">
        <f t="shared" si="146"/>
        <v>#REF!</v>
      </c>
      <c r="U68" s="441" t="e">
        <f>MAX(U$65:U$66)+IF($B$2="mil",1,0.0254)*DDR2Specs!$B$3</f>
        <v>#REF!</v>
      </c>
      <c r="V68" s="441" t="e">
        <f>MIN(U$65:U$66)+IF($B$2="mil",1,0.0254)*DDR2Specs!$C$3</f>
        <v>#REF!</v>
      </c>
      <c r="W68" s="18"/>
      <c r="X68" s="534" t="e">
        <f t="shared" si="147"/>
        <v>#REF!</v>
      </c>
      <c r="Y68" s="447" t="e">
        <f t="shared" si="148"/>
        <v>#REF!</v>
      </c>
      <c r="Z68" s="18"/>
      <c r="AA68" s="441">
        <f t="shared" si="149"/>
        <v>3668.900000000001</v>
      </c>
      <c r="AB68" s="441" t="e">
        <f t="shared" si="150"/>
        <v>#REF!</v>
      </c>
      <c r="AC68" s="441" t="e">
        <f>MAX(AC$65:AC$66)+IF($B$2="mil",1,0.0254)*DDR2Specs!$E$3</f>
        <v>#REF!</v>
      </c>
      <c r="AD68" s="441" t="e">
        <f>MIN(AC$65:AC$66)+IF($B$2="mil",1,0.0254)*DDR2Specs!$F$3</f>
        <v>#REF!</v>
      </c>
      <c r="AE68" s="18"/>
      <c r="AF68" s="534" t="e">
        <f t="shared" si="151"/>
        <v>#REF!</v>
      </c>
      <c r="AG68" s="447" t="e">
        <f t="shared" si="152"/>
        <v>#REF!</v>
      </c>
      <c r="AH68" s="18"/>
      <c r="AI68" s="441">
        <f t="shared" si="153"/>
        <v>3668.9300000000012</v>
      </c>
      <c r="AJ68" s="441" t="e">
        <f t="shared" si="154"/>
        <v>#REF!</v>
      </c>
      <c r="AK68" s="441" t="e">
        <f>MAX(AK$65:AK$66)+IF($B$2="mil",1,0.0254)*DDR2Specs!$E$3</f>
        <v>#REF!</v>
      </c>
      <c r="AL68" s="441" t="e">
        <f>MIN(AK$65:AK$66)+IF($B$2="mil",1,0.0254)*DDR2Specs!$F$3</f>
        <v>#REF!</v>
      </c>
      <c r="AM68" s="18"/>
      <c r="AN68" s="534" t="e">
        <f t="shared" si="155"/>
        <v>#REF!</v>
      </c>
      <c r="AO68" s="447" t="e">
        <f t="shared" si="156"/>
        <v>#REF!</v>
      </c>
      <c r="AP68" s="18"/>
      <c r="AQ68" s="447" t="e">
        <f t="shared" si="157"/>
        <v>#REF!</v>
      </c>
      <c r="AR68" s="447" t="e">
        <f t="shared" si="158"/>
        <v>#REF!</v>
      </c>
      <c r="AS68" s="447" t="e">
        <f t="shared" si="159"/>
        <v>#REF!</v>
      </c>
      <c r="AT68" s="447" t="e">
        <f t="shared" ca="1" si="160"/>
        <v>#NAME?</v>
      </c>
      <c r="AU68" s="447" t="e">
        <f t="shared" si="161"/>
        <v>#REF!</v>
      </c>
      <c r="AV68" s="447" t="e">
        <f t="shared" si="162"/>
        <v>#REF!</v>
      </c>
      <c r="AW68" s="447" t="e">
        <f t="shared" si="163"/>
        <v>#REF!</v>
      </c>
      <c r="AX68" s="447" t="e">
        <f t="shared" si="164"/>
        <v>#REF!</v>
      </c>
      <c r="AY68" s="447" t="e">
        <f t="shared" si="165"/>
        <v>#REF!</v>
      </c>
      <c r="AZ68" s="445" t="e">
        <f t="shared" si="166"/>
        <v>#REF!</v>
      </c>
      <c r="BA68" s="447" t="e">
        <f t="shared" ca="1" si="167"/>
        <v>#NAME?</v>
      </c>
      <c r="BB68" s="447" t="e">
        <f t="shared" ca="1" si="168"/>
        <v>#NAME?</v>
      </c>
      <c r="BC68" s="447" t="e">
        <f t="shared" si="169"/>
        <v>#REF!</v>
      </c>
      <c r="BD68" s="447" t="e">
        <f t="shared" si="170"/>
        <v>#REF!</v>
      </c>
      <c r="BE68" s="447" t="e">
        <f t="shared" si="171"/>
        <v>#REF!</v>
      </c>
      <c r="BF68" s="447" t="e">
        <f t="shared" si="172"/>
        <v>#REF!</v>
      </c>
      <c r="BG68" s="18"/>
      <c r="BH68" s="2" t="e">
        <f t="shared" ca="1" si="173"/>
        <v>#REF!</v>
      </c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</row>
    <row r="69" spans="1:76" x14ac:dyDescent="0.2">
      <c r="A69" s="560" t="s">
        <v>215</v>
      </c>
      <c r="B69" s="593" t="s">
        <v>531</v>
      </c>
      <c r="C69" s="584">
        <v>593.89763779527561</v>
      </c>
      <c r="D69" s="16"/>
      <c r="E69" s="17">
        <v>22.63</v>
      </c>
      <c r="F69" s="17">
        <v>0</v>
      </c>
      <c r="G69">
        <v>1580.15</v>
      </c>
      <c r="H69">
        <v>30</v>
      </c>
      <c r="I69">
        <v>787.08</v>
      </c>
      <c r="J69">
        <v>85.78</v>
      </c>
      <c r="K69" s="17">
        <v>40</v>
      </c>
      <c r="L69">
        <v>44.57</v>
      </c>
      <c r="M69">
        <v>1227</v>
      </c>
      <c r="N69" s="271">
        <v>0</v>
      </c>
      <c r="O69" s="271">
        <v>0</v>
      </c>
      <c r="P69">
        <v>30.83</v>
      </c>
      <c r="Q69">
        <v>30.86</v>
      </c>
      <c r="R69" s="58"/>
      <c r="S69" s="441">
        <f t="shared" si="145"/>
        <v>1632.7800000000002</v>
      </c>
      <c r="T69" s="441" t="e">
        <f t="shared" si="146"/>
        <v>#REF!</v>
      </c>
      <c r="U69" s="441" t="e">
        <f>MAX(U$65:U$66)+IF($B$2="mil",1,0.0254)*DDR2Specs!$B$3</f>
        <v>#REF!</v>
      </c>
      <c r="V69" s="441" t="e">
        <f>MIN(U$65:U$66)+IF($B$2="mil",1,0.0254)*DDR2Specs!$C$3</f>
        <v>#REF!</v>
      </c>
      <c r="W69" s="18"/>
      <c r="X69" s="534" t="e">
        <f t="shared" si="147"/>
        <v>#REF!</v>
      </c>
      <c r="Y69" s="447" t="e">
        <f t="shared" si="148"/>
        <v>#REF!</v>
      </c>
      <c r="Z69" s="18"/>
      <c r="AA69" s="441">
        <f t="shared" si="149"/>
        <v>3818.0400000000004</v>
      </c>
      <c r="AB69" s="441" t="e">
        <f t="shared" si="150"/>
        <v>#REF!</v>
      </c>
      <c r="AC69" s="441" t="e">
        <f>MAX(AC$65:AC$66)+IF($B$2="mil",1,0.0254)*DDR2Specs!$E$3</f>
        <v>#REF!</v>
      </c>
      <c r="AD69" s="441" t="e">
        <f>MIN(AC$65:AC$66)+IF($B$2="mil",1,0.0254)*DDR2Specs!$F$3</f>
        <v>#REF!</v>
      </c>
      <c r="AE69" s="18"/>
      <c r="AF69" s="534" t="e">
        <f t="shared" si="151"/>
        <v>#REF!</v>
      </c>
      <c r="AG69" s="447" t="e">
        <f t="shared" si="152"/>
        <v>#REF!</v>
      </c>
      <c r="AH69" s="18"/>
      <c r="AI69" s="441">
        <f t="shared" si="153"/>
        <v>3818.0700000000006</v>
      </c>
      <c r="AJ69" s="441" t="e">
        <f t="shared" si="154"/>
        <v>#REF!</v>
      </c>
      <c r="AK69" s="441" t="e">
        <f>MAX(AK$65:AK$66)+IF($B$2="mil",1,0.0254)*DDR2Specs!$E$3</f>
        <v>#REF!</v>
      </c>
      <c r="AL69" s="441" t="e">
        <f>MIN(AK$65:AK$66)+IF($B$2="mil",1,0.0254)*DDR2Specs!$F$3</f>
        <v>#REF!</v>
      </c>
      <c r="AM69" s="18"/>
      <c r="AN69" s="534" t="e">
        <f t="shared" si="155"/>
        <v>#REF!</v>
      </c>
      <c r="AO69" s="447" t="e">
        <f t="shared" si="156"/>
        <v>#REF!</v>
      </c>
      <c r="AP69" s="18"/>
      <c r="AQ69" s="447" t="e">
        <f t="shared" si="157"/>
        <v>#REF!</v>
      </c>
      <c r="AR69" s="447" t="e">
        <f t="shared" si="158"/>
        <v>#REF!</v>
      </c>
      <c r="AS69" s="447" t="e">
        <f t="shared" si="159"/>
        <v>#REF!</v>
      </c>
      <c r="AT69" s="447" t="e">
        <f t="shared" ca="1" si="160"/>
        <v>#NAME?</v>
      </c>
      <c r="AU69" s="447" t="e">
        <f t="shared" si="161"/>
        <v>#REF!</v>
      </c>
      <c r="AV69" s="447" t="e">
        <f t="shared" si="162"/>
        <v>#REF!</v>
      </c>
      <c r="AW69" s="447" t="e">
        <f t="shared" si="163"/>
        <v>#REF!</v>
      </c>
      <c r="AX69" s="447" t="e">
        <f t="shared" si="164"/>
        <v>#REF!</v>
      </c>
      <c r="AY69" s="447" t="e">
        <f t="shared" si="165"/>
        <v>#REF!</v>
      </c>
      <c r="AZ69" s="445" t="e">
        <f t="shared" si="166"/>
        <v>#REF!</v>
      </c>
      <c r="BA69" s="447" t="e">
        <f t="shared" ca="1" si="167"/>
        <v>#NAME?</v>
      </c>
      <c r="BB69" s="447" t="e">
        <f t="shared" ca="1" si="168"/>
        <v>#NAME?</v>
      </c>
      <c r="BC69" s="447" t="e">
        <f t="shared" si="169"/>
        <v>#REF!</v>
      </c>
      <c r="BD69" s="447" t="e">
        <f t="shared" si="170"/>
        <v>#REF!</v>
      </c>
      <c r="BE69" s="447" t="e">
        <f t="shared" si="171"/>
        <v>#REF!</v>
      </c>
      <c r="BF69" s="447" t="e">
        <f t="shared" si="172"/>
        <v>#REF!</v>
      </c>
      <c r="BG69" s="18"/>
      <c r="BH69" s="2" t="e">
        <f t="shared" ca="1" si="173"/>
        <v>#REF!</v>
      </c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</row>
    <row r="70" spans="1:76" x14ac:dyDescent="0.2">
      <c r="A70" s="560" t="s">
        <v>216</v>
      </c>
      <c r="B70" s="589" t="s">
        <v>419</v>
      </c>
      <c r="C70" s="584">
        <v>626.37795275590554</v>
      </c>
      <c r="D70" s="16"/>
      <c r="E70" s="17">
        <v>22.63</v>
      </c>
      <c r="F70" s="17">
        <v>0</v>
      </c>
      <c r="G70">
        <v>1548.65</v>
      </c>
      <c r="H70">
        <v>25</v>
      </c>
      <c r="I70">
        <v>829.82</v>
      </c>
      <c r="J70">
        <v>44.57</v>
      </c>
      <c r="K70" s="17">
        <v>40</v>
      </c>
      <c r="L70">
        <v>85.78</v>
      </c>
      <c r="M70">
        <v>1183.3</v>
      </c>
      <c r="N70" s="271">
        <v>0</v>
      </c>
      <c r="O70" s="271">
        <v>0</v>
      </c>
      <c r="P70">
        <v>31.57</v>
      </c>
      <c r="Q70">
        <v>31.54</v>
      </c>
      <c r="R70" s="58"/>
      <c r="S70" s="441">
        <f t="shared" si="145"/>
        <v>1596.2800000000002</v>
      </c>
      <c r="T70" s="441" t="e">
        <f t="shared" si="146"/>
        <v>#REF!</v>
      </c>
      <c r="U70" s="441" t="e">
        <f>MAX(U$65:U$66)+IF($B$2="mil",1,0.0254)*DDR2Specs!$B$3</f>
        <v>#REF!</v>
      </c>
      <c r="V70" s="441" t="e">
        <f>MIN(U$65:U$66)+IF($B$2="mil",1,0.0254)*DDR2Specs!$C$3</f>
        <v>#REF!</v>
      </c>
      <c r="W70" s="18"/>
      <c r="X70" s="534" t="e">
        <f t="shared" si="147"/>
        <v>#REF!</v>
      </c>
      <c r="Y70" s="447" t="e">
        <f t="shared" si="148"/>
        <v>#REF!</v>
      </c>
      <c r="Z70" s="18"/>
      <c r="AA70" s="441">
        <f t="shared" si="149"/>
        <v>3786.3200000000011</v>
      </c>
      <c r="AB70" s="441" t="e">
        <f t="shared" si="150"/>
        <v>#REF!</v>
      </c>
      <c r="AC70" s="441" t="e">
        <f>MAX(AC$65:AC$66)+IF($B$2="mil",1,0.0254)*DDR2Specs!$E$3</f>
        <v>#REF!</v>
      </c>
      <c r="AD70" s="441" t="e">
        <f>MIN(AC$65:AC$66)+IF($B$2="mil",1,0.0254)*DDR2Specs!$F$3</f>
        <v>#REF!</v>
      </c>
      <c r="AE70" s="18"/>
      <c r="AF70" s="534" t="e">
        <f t="shared" si="151"/>
        <v>#REF!</v>
      </c>
      <c r="AG70" s="447" t="e">
        <f t="shared" si="152"/>
        <v>#REF!</v>
      </c>
      <c r="AH70" s="18"/>
      <c r="AI70" s="441">
        <f t="shared" si="153"/>
        <v>3786.2900000000009</v>
      </c>
      <c r="AJ70" s="441" t="e">
        <f t="shared" si="154"/>
        <v>#REF!</v>
      </c>
      <c r="AK70" s="441" t="e">
        <f>MAX(AK$65:AK$66)+IF($B$2="mil",1,0.0254)*DDR2Specs!$E$3</f>
        <v>#REF!</v>
      </c>
      <c r="AL70" s="441" t="e">
        <f>MIN(AK$65:AK$66)+IF($B$2="mil",1,0.0254)*DDR2Specs!$F$3</f>
        <v>#REF!</v>
      </c>
      <c r="AM70" s="18"/>
      <c r="AN70" s="534" t="e">
        <f t="shared" si="155"/>
        <v>#REF!</v>
      </c>
      <c r="AO70" s="447" t="e">
        <f t="shared" si="156"/>
        <v>#REF!</v>
      </c>
      <c r="AP70" s="18"/>
      <c r="AQ70" s="447" t="e">
        <f t="shared" si="157"/>
        <v>#REF!</v>
      </c>
      <c r="AR70" s="447" t="e">
        <f t="shared" si="158"/>
        <v>#REF!</v>
      </c>
      <c r="AS70" s="447" t="e">
        <f t="shared" si="159"/>
        <v>#REF!</v>
      </c>
      <c r="AT70" s="447" t="e">
        <f t="shared" ca="1" si="160"/>
        <v>#NAME?</v>
      </c>
      <c r="AU70" s="447" t="e">
        <f t="shared" si="161"/>
        <v>#REF!</v>
      </c>
      <c r="AV70" s="447" t="e">
        <f t="shared" si="162"/>
        <v>#REF!</v>
      </c>
      <c r="AW70" s="447" t="e">
        <f t="shared" si="163"/>
        <v>#REF!</v>
      </c>
      <c r="AX70" s="447" t="e">
        <f t="shared" si="164"/>
        <v>#REF!</v>
      </c>
      <c r="AY70" s="447" t="e">
        <f t="shared" si="165"/>
        <v>#REF!</v>
      </c>
      <c r="AZ70" s="445" t="e">
        <f t="shared" si="166"/>
        <v>#REF!</v>
      </c>
      <c r="BA70" s="447" t="e">
        <f t="shared" ca="1" si="167"/>
        <v>#NAME?</v>
      </c>
      <c r="BB70" s="447" t="e">
        <f t="shared" ca="1" si="168"/>
        <v>#NAME?</v>
      </c>
      <c r="BC70" s="447" t="e">
        <f t="shared" si="169"/>
        <v>#REF!</v>
      </c>
      <c r="BD70" s="447" t="e">
        <f t="shared" si="170"/>
        <v>#REF!</v>
      </c>
      <c r="BE70" s="447" t="e">
        <f t="shared" si="171"/>
        <v>#REF!</v>
      </c>
      <c r="BF70" s="447" t="e">
        <f t="shared" si="172"/>
        <v>#REF!</v>
      </c>
      <c r="BG70" s="18"/>
      <c r="BH70" s="2" t="e">
        <f t="shared" ca="1" si="173"/>
        <v>#REF!</v>
      </c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</row>
    <row r="71" spans="1:76" x14ac:dyDescent="0.2">
      <c r="A71" s="560" t="s">
        <v>217</v>
      </c>
      <c r="B71" s="589" t="s">
        <v>532</v>
      </c>
      <c r="C71" s="584">
        <v>594.33070866141736</v>
      </c>
      <c r="D71" s="16"/>
      <c r="E71" s="17">
        <v>22.63</v>
      </c>
      <c r="F71" s="17">
        <v>0</v>
      </c>
      <c r="G71">
        <v>1602.69</v>
      </c>
      <c r="H71">
        <v>15</v>
      </c>
      <c r="I71">
        <v>817.53</v>
      </c>
      <c r="J71">
        <v>44.57</v>
      </c>
      <c r="K71" s="17">
        <v>40</v>
      </c>
      <c r="L71">
        <v>92.41</v>
      </c>
      <c r="M71">
        <v>1149.32</v>
      </c>
      <c r="N71" s="271">
        <v>0</v>
      </c>
      <c r="O71" s="271">
        <v>0</v>
      </c>
      <c r="P71">
        <v>50.17</v>
      </c>
      <c r="Q71">
        <v>50.2</v>
      </c>
      <c r="R71" s="58"/>
      <c r="S71" s="441">
        <f t="shared" si="145"/>
        <v>1640.3200000000002</v>
      </c>
      <c r="T71" s="441" t="e">
        <f t="shared" si="146"/>
        <v>#REF!</v>
      </c>
      <c r="U71" s="441" t="e">
        <f>MAX(U$65:U$66)+IF($B$2="mil",1,0.0254)*DDR2Specs!$B$3</f>
        <v>#REF!</v>
      </c>
      <c r="V71" s="441" t="e">
        <f>MIN(U$65:U$66)+IF($B$2="mil",1,0.0254)*DDR2Specs!$C$3</f>
        <v>#REF!</v>
      </c>
      <c r="W71" s="18"/>
      <c r="X71" s="534" t="e">
        <f t="shared" si="147"/>
        <v>#REF!</v>
      </c>
      <c r="Y71" s="447" t="e">
        <f t="shared" si="148"/>
        <v>#REF!</v>
      </c>
      <c r="Z71" s="18"/>
      <c r="AA71" s="441">
        <f t="shared" si="149"/>
        <v>3819.3200000000006</v>
      </c>
      <c r="AB71" s="441" t="e">
        <f t="shared" si="150"/>
        <v>#REF!</v>
      </c>
      <c r="AC71" s="441" t="e">
        <f>MAX(AC$65:AC$66)+IF($B$2="mil",1,0.0254)*DDR2Specs!$E$3</f>
        <v>#REF!</v>
      </c>
      <c r="AD71" s="441" t="e">
        <f>MIN(AC$65:AC$66)+IF($B$2="mil",1,0.0254)*DDR2Specs!$F$3</f>
        <v>#REF!</v>
      </c>
      <c r="AE71" s="18"/>
      <c r="AF71" s="534" t="e">
        <f t="shared" si="151"/>
        <v>#REF!</v>
      </c>
      <c r="AG71" s="447" t="e">
        <f t="shared" si="152"/>
        <v>#REF!</v>
      </c>
      <c r="AH71" s="18"/>
      <c r="AI71" s="441">
        <f t="shared" si="153"/>
        <v>3819.3500000000004</v>
      </c>
      <c r="AJ71" s="441" t="e">
        <f t="shared" si="154"/>
        <v>#REF!</v>
      </c>
      <c r="AK71" s="441" t="e">
        <f>MAX(AK$65:AK$66)+IF($B$2="mil",1,0.0254)*DDR2Specs!$E$3</f>
        <v>#REF!</v>
      </c>
      <c r="AL71" s="441" t="e">
        <f>MIN(AK$65:AK$66)+IF($B$2="mil",1,0.0254)*DDR2Specs!$F$3</f>
        <v>#REF!</v>
      </c>
      <c r="AM71" s="18"/>
      <c r="AN71" s="534" t="e">
        <f t="shared" si="155"/>
        <v>#REF!</v>
      </c>
      <c r="AO71" s="447" t="e">
        <f t="shared" si="156"/>
        <v>#REF!</v>
      </c>
      <c r="AP71" s="18"/>
      <c r="AQ71" s="447" t="e">
        <f t="shared" si="157"/>
        <v>#REF!</v>
      </c>
      <c r="AR71" s="447" t="e">
        <f t="shared" si="158"/>
        <v>#REF!</v>
      </c>
      <c r="AS71" s="447" t="e">
        <f t="shared" si="159"/>
        <v>#REF!</v>
      </c>
      <c r="AT71" s="447" t="e">
        <f t="shared" ca="1" si="160"/>
        <v>#NAME?</v>
      </c>
      <c r="AU71" s="447" t="e">
        <f t="shared" si="161"/>
        <v>#REF!</v>
      </c>
      <c r="AV71" s="447" t="e">
        <f t="shared" si="162"/>
        <v>#REF!</v>
      </c>
      <c r="AW71" s="447" t="e">
        <f t="shared" si="163"/>
        <v>#REF!</v>
      </c>
      <c r="AX71" s="447" t="e">
        <f t="shared" si="164"/>
        <v>#REF!</v>
      </c>
      <c r="AY71" s="447" t="e">
        <f t="shared" si="165"/>
        <v>#REF!</v>
      </c>
      <c r="AZ71" s="445" t="e">
        <f t="shared" si="166"/>
        <v>#REF!</v>
      </c>
      <c r="BA71" s="447" t="e">
        <f t="shared" ca="1" si="167"/>
        <v>#NAME?</v>
      </c>
      <c r="BB71" s="447" t="e">
        <f t="shared" ca="1" si="168"/>
        <v>#NAME?</v>
      </c>
      <c r="BC71" s="447" t="e">
        <f t="shared" si="169"/>
        <v>#REF!</v>
      </c>
      <c r="BD71" s="447" t="e">
        <f t="shared" si="170"/>
        <v>#REF!</v>
      </c>
      <c r="BE71" s="447" t="e">
        <f t="shared" si="171"/>
        <v>#REF!</v>
      </c>
      <c r="BF71" s="447" t="e">
        <f t="shared" si="172"/>
        <v>#REF!</v>
      </c>
      <c r="BG71" s="18"/>
      <c r="BH71" s="2" t="e">
        <f t="shared" ca="1" si="173"/>
        <v>#REF!</v>
      </c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</row>
    <row r="72" spans="1:76" x14ac:dyDescent="0.2">
      <c r="A72" s="560" t="s">
        <v>218</v>
      </c>
      <c r="B72" s="589" t="s">
        <v>415</v>
      </c>
      <c r="C72" s="584">
        <v>587.95275590551182</v>
      </c>
      <c r="D72" s="16"/>
      <c r="E72" s="17">
        <v>22.63</v>
      </c>
      <c r="F72" s="17">
        <v>0</v>
      </c>
      <c r="G72">
        <v>1594.04</v>
      </c>
      <c r="H72">
        <v>30</v>
      </c>
      <c r="I72">
        <v>787.6</v>
      </c>
      <c r="J72">
        <v>85.78</v>
      </c>
      <c r="K72" s="17">
        <v>40</v>
      </c>
      <c r="L72">
        <v>44.57</v>
      </c>
      <c r="M72">
        <v>1226.07</v>
      </c>
      <c r="N72" s="271">
        <v>0</v>
      </c>
      <c r="O72" s="271">
        <v>0</v>
      </c>
      <c r="P72">
        <v>22.24</v>
      </c>
      <c r="Q72">
        <v>22.29</v>
      </c>
      <c r="R72" s="58"/>
      <c r="S72" s="441">
        <f t="shared" si="145"/>
        <v>1646.67</v>
      </c>
      <c r="T72" s="441" t="e">
        <f t="shared" si="146"/>
        <v>#REF!</v>
      </c>
      <c r="U72" s="441" t="e">
        <f>MAX(U$65:U$66)+IF($B$2="mil",1,0.0254)*DDR2Specs!$B$3</f>
        <v>#REF!</v>
      </c>
      <c r="V72" s="441" t="e">
        <f>MIN(U$65:U$66)+IF($B$2="mil",1,0.0254)*DDR2Specs!$C$3</f>
        <v>#REF!</v>
      </c>
      <c r="W72" s="18"/>
      <c r="X72" s="534" t="e">
        <f t="shared" si="147"/>
        <v>#REF!</v>
      </c>
      <c r="Y72" s="447" t="e">
        <f t="shared" si="148"/>
        <v>#REF!</v>
      </c>
      <c r="Z72" s="18"/>
      <c r="AA72" s="441">
        <f t="shared" si="149"/>
        <v>3822.9300000000003</v>
      </c>
      <c r="AB72" s="441" t="e">
        <f t="shared" si="150"/>
        <v>#REF!</v>
      </c>
      <c r="AC72" s="441" t="e">
        <f>MAX(AC$65:AC$66)+IF($B$2="mil",1,0.0254)*DDR2Specs!$E$3</f>
        <v>#REF!</v>
      </c>
      <c r="AD72" s="441" t="e">
        <f>MIN(AC$65:AC$66)+IF($B$2="mil",1,0.0254)*DDR2Specs!$F$3</f>
        <v>#REF!</v>
      </c>
      <c r="AE72" s="18"/>
      <c r="AF72" s="534" t="e">
        <f t="shared" si="151"/>
        <v>#REF!</v>
      </c>
      <c r="AG72" s="447" t="e">
        <f t="shared" si="152"/>
        <v>#REF!</v>
      </c>
      <c r="AH72" s="18"/>
      <c r="AI72" s="441">
        <f t="shared" si="153"/>
        <v>3822.9800000000005</v>
      </c>
      <c r="AJ72" s="441" t="e">
        <f t="shared" si="154"/>
        <v>#REF!</v>
      </c>
      <c r="AK72" s="441" t="e">
        <f>MAX(AK$65:AK$66)+IF($B$2="mil",1,0.0254)*DDR2Specs!$E$3</f>
        <v>#REF!</v>
      </c>
      <c r="AL72" s="441" t="e">
        <f>MIN(AK$65:AK$66)+IF($B$2="mil",1,0.0254)*DDR2Specs!$F$3</f>
        <v>#REF!</v>
      </c>
      <c r="AM72" s="18"/>
      <c r="AN72" s="534" t="e">
        <f t="shared" si="155"/>
        <v>#REF!</v>
      </c>
      <c r="AO72" s="447" t="e">
        <f t="shared" si="156"/>
        <v>#REF!</v>
      </c>
      <c r="AP72" s="18"/>
      <c r="AQ72" s="447" t="e">
        <f t="shared" si="157"/>
        <v>#REF!</v>
      </c>
      <c r="AR72" s="447" t="e">
        <f t="shared" si="158"/>
        <v>#REF!</v>
      </c>
      <c r="AS72" s="447" t="e">
        <f t="shared" si="159"/>
        <v>#REF!</v>
      </c>
      <c r="AT72" s="447" t="e">
        <f t="shared" ca="1" si="160"/>
        <v>#NAME?</v>
      </c>
      <c r="AU72" s="447" t="e">
        <f t="shared" si="161"/>
        <v>#REF!</v>
      </c>
      <c r="AV72" s="447" t="e">
        <f t="shared" si="162"/>
        <v>#REF!</v>
      </c>
      <c r="AW72" s="447" t="e">
        <f t="shared" si="163"/>
        <v>#REF!</v>
      </c>
      <c r="AX72" s="447" t="e">
        <f t="shared" si="164"/>
        <v>#REF!</v>
      </c>
      <c r="AY72" s="447" t="e">
        <f t="shared" si="165"/>
        <v>#REF!</v>
      </c>
      <c r="AZ72" s="445" t="e">
        <f t="shared" si="166"/>
        <v>#REF!</v>
      </c>
      <c r="BA72" s="447" t="e">
        <f t="shared" ca="1" si="167"/>
        <v>#NAME?</v>
      </c>
      <c r="BB72" s="447" t="e">
        <f t="shared" ca="1" si="168"/>
        <v>#NAME?</v>
      </c>
      <c r="BC72" s="447" t="e">
        <f t="shared" si="169"/>
        <v>#REF!</v>
      </c>
      <c r="BD72" s="447" t="e">
        <f t="shared" si="170"/>
        <v>#REF!</v>
      </c>
      <c r="BE72" s="447" t="e">
        <f t="shared" si="171"/>
        <v>#REF!</v>
      </c>
      <c r="BF72" s="447" t="e">
        <f t="shared" si="172"/>
        <v>#REF!</v>
      </c>
      <c r="BG72" s="18"/>
      <c r="BH72" s="2" t="e">
        <f t="shared" ca="1" si="173"/>
        <v>#REF!</v>
      </c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</row>
    <row r="73" spans="1:76" x14ac:dyDescent="0.2">
      <c r="A73" s="560" t="s">
        <v>219</v>
      </c>
      <c r="B73" s="589" t="s">
        <v>420</v>
      </c>
      <c r="C73" s="584">
        <v>692.79527559055123</v>
      </c>
      <c r="D73" s="16"/>
      <c r="E73" s="17">
        <v>22.63</v>
      </c>
      <c r="F73" s="17">
        <v>0</v>
      </c>
      <c r="G73">
        <v>1520.05</v>
      </c>
      <c r="H73">
        <v>0</v>
      </c>
      <c r="I73">
        <v>771.23</v>
      </c>
      <c r="J73">
        <v>94.07</v>
      </c>
      <c r="K73" s="17">
        <v>40</v>
      </c>
      <c r="L73">
        <v>90.75</v>
      </c>
      <c r="M73">
        <v>1120.94</v>
      </c>
      <c r="N73" s="271">
        <v>0</v>
      </c>
      <c r="O73" s="271">
        <v>0</v>
      </c>
      <c r="P73">
        <v>64.260000000000005</v>
      </c>
      <c r="Q73">
        <v>64.3</v>
      </c>
      <c r="R73" s="58"/>
      <c r="S73" s="441">
        <f t="shared" si="145"/>
        <v>1542.68</v>
      </c>
      <c r="T73" s="441" t="e">
        <f t="shared" si="146"/>
        <v>#REF!</v>
      </c>
      <c r="U73" s="441" t="e">
        <f>MAX(U$65:U$66)+IF($B$2="mil",1,0.0254)*DDR2Specs!$B$3</f>
        <v>#REF!</v>
      </c>
      <c r="V73" s="441" t="e">
        <f>MIN(U$65:U$66)+IF($B$2="mil",1,0.0254)*DDR2Specs!$C$3</f>
        <v>#REF!</v>
      </c>
      <c r="W73" s="18"/>
      <c r="X73" s="534" t="e">
        <f t="shared" si="147"/>
        <v>#REF!</v>
      </c>
      <c r="Y73" s="447" t="e">
        <f t="shared" si="148"/>
        <v>#REF!</v>
      </c>
      <c r="Z73" s="18"/>
      <c r="AA73" s="441">
        <f t="shared" si="149"/>
        <v>3723.9300000000003</v>
      </c>
      <c r="AB73" s="441" t="e">
        <f t="shared" si="150"/>
        <v>#REF!</v>
      </c>
      <c r="AC73" s="441" t="e">
        <f>MAX(AC$65:AC$66)+IF($B$2="mil",1,0.0254)*DDR2Specs!$E$3</f>
        <v>#REF!</v>
      </c>
      <c r="AD73" s="441" t="e">
        <f>MIN(AC$65:AC$66)+IF($B$2="mil",1,0.0254)*DDR2Specs!$F$3</f>
        <v>#REF!</v>
      </c>
      <c r="AE73" s="18"/>
      <c r="AF73" s="534" t="e">
        <f t="shared" si="151"/>
        <v>#REF!</v>
      </c>
      <c r="AG73" s="447" t="e">
        <f t="shared" si="152"/>
        <v>#REF!</v>
      </c>
      <c r="AH73" s="18"/>
      <c r="AI73" s="441">
        <f t="shared" si="153"/>
        <v>3723.9700000000003</v>
      </c>
      <c r="AJ73" s="441" t="e">
        <f t="shared" si="154"/>
        <v>#REF!</v>
      </c>
      <c r="AK73" s="441" t="e">
        <f>MAX(AK$65:AK$66)+IF($B$2="mil",1,0.0254)*DDR2Specs!$E$3</f>
        <v>#REF!</v>
      </c>
      <c r="AL73" s="441" t="e">
        <f>MIN(AK$65:AK$66)+IF($B$2="mil",1,0.0254)*DDR2Specs!$F$3</f>
        <v>#REF!</v>
      </c>
      <c r="AM73" s="18"/>
      <c r="AN73" s="534" t="e">
        <f t="shared" si="155"/>
        <v>#REF!</v>
      </c>
      <c r="AO73" s="447" t="e">
        <f t="shared" si="156"/>
        <v>#REF!</v>
      </c>
      <c r="AP73" s="18"/>
      <c r="AQ73" s="447" t="e">
        <f t="shared" si="157"/>
        <v>#REF!</v>
      </c>
      <c r="AR73" s="447" t="e">
        <f t="shared" si="158"/>
        <v>#REF!</v>
      </c>
      <c r="AS73" s="447" t="e">
        <f t="shared" si="159"/>
        <v>#REF!</v>
      </c>
      <c r="AT73" s="447" t="e">
        <f t="shared" ca="1" si="160"/>
        <v>#NAME?</v>
      </c>
      <c r="AU73" s="447" t="e">
        <f t="shared" si="161"/>
        <v>#REF!</v>
      </c>
      <c r="AV73" s="447" t="e">
        <f t="shared" si="162"/>
        <v>#REF!</v>
      </c>
      <c r="AW73" s="447" t="e">
        <f t="shared" si="163"/>
        <v>#REF!</v>
      </c>
      <c r="AX73" s="447" t="e">
        <f t="shared" si="164"/>
        <v>#REF!</v>
      </c>
      <c r="AY73" s="447" t="e">
        <f t="shared" si="165"/>
        <v>#REF!</v>
      </c>
      <c r="AZ73" s="445" t="e">
        <f t="shared" si="166"/>
        <v>#REF!</v>
      </c>
      <c r="BA73" s="447" t="e">
        <f t="shared" ca="1" si="167"/>
        <v>#NAME?</v>
      </c>
      <c r="BB73" s="447" t="e">
        <f t="shared" ca="1" si="168"/>
        <v>#NAME?</v>
      </c>
      <c r="BC73" s="447" t="e">
        <f t="shared" si="169"/>
        <v>#REF!</v>
      </c>
      <c r="BD73" s="447" t="e">
        <f t="shared" si="170"/>
        <v>#REF!</v>
      </c>
      <c r="BE73" s="447" t="e">
        <f t="shared" si="171"/>
        <v>#REF!</v>
      </c>
      <c r="BF73" s="447" t="e">
        <f t="shared" si="172"/>
        <v>#REF!</v>
      </c>
      <c r="BG73" s="18"/>
      <c r="BH73" s="2" t="e">
        <f t="shared" ca="1" si="173"/>
        <v>#REF!</v>
      </c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</row>
    <row r="74" spans="1:76" x14ac:dyDescent="0.2">
      <c r="A74" s="560" t="s">
        <v>220</v>
      </c>
      <c r="B74" s="589" t="s">
        <v>533</v>
      </c>
      <c r="C74" s="584">
        <v>671.29921259842513</v>
      </c>
      <c r="D74" s="16"/>
      <c r="E74" s="17">
        <v>22.63</v>
      </c>
      <c r="F74" s="17">
        <v>0</v>
      </c>
      <c r="G74">
        <v>1512.78</v>
      </c>
      <c r="H74">
        <v>25</v>
      </c>
      <c r="I74">
        <v>810.56</v>
      </c>
      <c r="J74">
        <v>32.5</v>
      </c>
      <c r="K74" s="17">
        <v>40</v>
      </c>
      <c r="L74">
        <v>85.78</v>
      </c>
      <c r="M74">
        <v>1131.05</v>
      </c>
      <c r="N74" s="271">
        <v>0</v>
      </c>
      <c r="O74" s="271">
        <v>0</v>
      </c>
      <c r="P74">
        <v>116.74</v>
      </c>
      <c r="Q74">
        <v>116.71</v>
      </c>
      <c r="R74" s="58"/>
      <c r="S74" s="441">
        <f t="shared" si="145"/>
        <v>1560.41</v>
      </c>
      <c r="T74" s="441" t="e">
        <f t="shared" si="146"/>
        <v>#REF!</v>
      </c>
      <c r="U74" s="441" t="e">
        <f>MAX(U$65:U$66)+IF($B$2="mil",1,0.0254)*DDR2Specs!$B$3</f>
        <v>#REF!</v>
      </c>
      <c r="V74" s="441" t="e">
        <f>MIN(U$65:U$66)+IF($B$2="mil",1,0.0254)*DDR2Specs!$C$3</f>
        <v>#REF!</v>
      </c>
      <c r="W74" s="18"/>
      <c r="X74" s="534" t="e">
        <f t="shared" si="147"/>
        <v>#REF!</v>
      </c>
      <c r="Y74" s="447" t="e">
        <f t="shared" si="148"/>
        <v>#REF!</v>
      </c>
      <c r="Z74" s="18"/>
      <c r="AA74" s="441">
        <f t="shared" si="149"/>
        <v>3752.04</v>
      </c>
      <c r="AB74" s="441" t="e">
        <f t="shared" si="150"/>
        <v>#REF!</v>
      </c>
      <c r="AC74" s="441" t="e">
        <f>MAX(AC$65:AC$66)+IF($B$2="mil",1,0.0254)*DDR2Specs!$E$3</f>
        <v>#REF!</v>
      </c>
      <c r="AD74" s="441" t="e">
        <f>MIN(AC$65:AC$66)+IF($B$2="mil",1,0.0254)*DDR2Specs!$F$3</f>
        <v>#REF!</v>
      </c>
      <c r="AE74" s="18"/>
      <c r="AF74" s="534" t="e">
        <f t="shared" si="151"/>
        <v>#REF!</v>
      </c>
      <c r="AG74" s="447" t="e">
        <f t="shared" si="152"/>
        <v>#REF!</v>
      </c>
      <c r="AH74" s="18"/>
      <c r="AI74" s="441">
        <f t="shared" si="153"/>
        <v>3752.01</v>
      </c>
      <c r="AJ74" s="441" t="e">
        <f t="shared" si="154"/>
        <v>#REF!</v>
      </c>
      <c r="AK74" s="441" t="e">
        <f>MAX(AK$65:AK$66)+IF($B$2="mil",1,0.0254)*DDR2Specs!$E$3</f>
        <v>#REF!</v>
      </c>
      <c r="AL74" s="441" t="e">
        <f>MIN(AK$65:AK$66)+IF($B$2="mil",1,0.0254)*DDR2Specs!$F$3</f>
        <v>#REF!</v>
      </c>
      <c r="AM74" s="18"/>
      <c r="AN74" s="534" t="e">
        <f t="shared" si="155"/>
        <v>#REF!</v>
      </c>
      <c r="AO74" s="447" t="e">
        <f t="shared" si="156"/>
        <v>#REF!</v>
      </c>
      <c r="AP74" s="18"/>
      <c r="AQ74" s="447" t="e">
        <f t="shared" si="157"/>
        <v>#REF!</v>
      </c>
      <c r="AR74" s="447" t="e">
        <f t="shared" si="158"/>
        <v>#REF!</v>
      </c>
      <c r="AS74" s="447" t="e">
        <f t="shared" si="159"/>
        <v>#REF!</v>
      </c>
      <c r="AT74" s="447" t="e">
        <f t="shared" ca="1" si="160"/>
        <v>#NAME?</v>
      </c>
      <c r="AU74" s="447" t="e">
        <f t="shared" si="161"/>
        <v>#REF!</v>
      </c>
      <c r="AV74" s="447" t="e">
        <f t="shared" si="162"/>
        <v>#REF!</v>
      </c>
      <c r="AW74" s="447" t="e">
        <f t="shared" si="163"/>
        <v>#REF!</v>
      </c>
      <c r="AX74" s="447" t="e">
        <f t="shared" si="164"/>
        <v>#REF!</v>
      </c>
      <c r="AY74" s="447" t="e">
        <f t="shared" si="165"/>
        <v>#REF!</v>
      </c>
      <c r="AZ74" s="445" t="e">
        <f t="shared" si="166"/>
        <v>#REF!</v>
      </c>
      <c r="BA74" s="447" t="e">
        <f t="shared" ca="1" si="167"/>
        <v>#NAME?</v>
      </c>
      <c r="BB74" s="447" t="e">
        <f t="shared" ca="1" si="168"/>
        <v>#NAME?</v>
      </c>
      <c r="BC74" s="447" t="e">
        <f t="shared" si="169"/>
        <v>#REF!</v>
      </c>
      <c r="BD74" s="447" t="e">
        <f t="shared" si="170"/>
        <v>#REF!</v>
      </c>
      <c r="BE74" s="447" t="e">
        <f t="shared" si="171"/>
        <v>#REF!</v>
      </c>
      <c r="BF74" s="447" t="e">
        <f t="shared" si="172"/>
        <v>#REF!</v>
      </c>
      <c r="BG74" s="18"/>
      <c r="BH74" s="2" t="e">
        <f t="shared" ca="1" si="173"/>
        <v>#REF!</v>
      </c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</row>
    <row r="75" spans="1:76" x14ac:dyDescent="0.2">
      <c r="A75" s="560" t="s">
        <v>221</v>
      </c>
      <c r="B75" s="590" t="s">
        <v>393</v>
      </c>
      <c r="C75" s="584">
        <v>583.81889763779532</v>
      </c>
      <c r="D75" s="16"/>
      <c r="E75" s="17">
        <v>22.63</v>
      </c>
      <c r="F75" s="17">
        <v>0</v>
      </c>
      <c r="G75">
        <v>1611.21</v>
      </c>
      <c r="H75">
        <v>15</v>
      </c>
      <c r="I75">
        <v>781.51</v>
      </c>
      <c r="J75">
        <v>44.57</v>
      </c>
      <c r="K75" s="17">
        <v>40</v>
      </c>
      <c r="L75">
        <v>85.78</v>
      </c>
      <c r="M75">
        <v>1180.97</v>
      </c>
      <c r="N75" s="271">
        <v>0</v>
      </c>
      <c r="O75" s="271">
        <v>0</v>
      </c>
      <c r="P75">
        <v>69.45</v>
      </c>
      <c r="Q75">
        <v>72.95</v>
      </c>
      <c r="R75" s="58"/>
      <c r="S75" s="441">
        <f t="shared" si="145"/>
        <v>1648.8400000000001</v>
      </c>
      <c r="T75" s="441" t="e">
        <f t="shared" si="146"/>
        <v>#REF!</v>
      </c>
      <c r="U75" s="441" t="e">
        <f>MAX(U$65:U$66)+IF($B$2="mil",1,0.0254)*DDR2Specs!$B$3</f>
        <v>#REF!</v>
      </c>
      <c r="V75" s="441" t="e">
        <f>MIN(U$65:U$66)+IF($B$2="mil",1,0.0254)*DDR2Specs!$C$3</f>
        <v>#REF!</v>
      </c>
      <c r="W75" s="18"/>
      <c r="X75" s="534" t="e">
        <f t="shared" si="147"/>
        <v>#REF!</v>
      </c>
      <c r="Y75" s="447" t="e">
        <f t="shared" si="148"/>
        <v>#REF!</v>
      </c>
      <c r="Z75" s="18"/>
      <c r="AA75" s="441">
        <f t="shared" si="149"/>
        <v>3836.1200000000008</v>
      </c>
      <c r="AB75" s="441" t="e">
        <f t="shared" si="150"/>
        <v>#REF!</v>
      </c>
      <c r="AC75" s="441" t="e">
        <f>MAX(AC$65:AC$66)+IF($B$2="mil",1,0.0254)*DDR2Specs!$E$3</f>
        <v>#REF!</v>
      </c>
      <c r="AD75" s="441" t="e">
        <f>MIN(AC$65:AC$66)+IF($B$2="mil",1,0.0254)*DDR2Specs!$F$3</f>
        <v>#REF!</v>
      </c>
      <c r="AE75" s="18"/>
      <c r="AF75" s="534" t="e">
        <f t="shared" si="151"/>
        <v>#REF!</v>
      </c>
      <c r="AG75" s="447" t="e">
        <f t="shared" si="152"/>
        <v>#REF!</v>
      </c>
      <c r="AH75" s="18"/>
      <c r="AI75" s="441">
        <f t="shared" si="153"/>
        <v>3839.6200000000008</v>
      </c>
      <c r="AJ75" s="441" t="e">
        <f t="shared" si="154"/>
        <v>#REF!</v>
      </c>
      <c r="AK75" s="441" t="e">
        <f>MAX(AK$65:AK$66)+IF($B$2="mil",1,0.0254)*DDR2Specs!$E$3</f>
        <v>#REF!</v>
      </c>
      <c r="AL75" s="441" t="e">
        <f>MIN(AK$65:AK$66)+IF($B$2="mil",1,0.0254)*DDR2Specs!$F$3</f>
        <v>#REF!</v>
      </c>
      <c r="AM75" s="18"/>
      <c r="AN75" s="534" t="e">
        <f t="shared" si="155"/>
        <v>#REF!</v>
      </c>
      <c r="AO75" s="447" t="e">
        <f t="shared" si="156"/>
        <v>#REF!</v>
      </c>
      <c r="AP75" s="18"/>
      <c r="AQ75" s="447" t="e">
        <f t="shared" si="157"/>
        <v>#REF!</v>
      </c>
      <c r="AR75" s="447" t="e">
        <f t="shared" si="158"/>
        <v>#REF!</v>
      </c>
      <c r="AS75" s="447" t="e">
        <f t="shared" si="159"/>
        <v>#REF!</v>
      </c>
      <c r="AT75" s="447" t="e">
        <f t="shared" ca="1" si="160"/>
        <v>#NAME?</v>
      </c>
      <c r="AU75" s="447" t="e">
        <f t="shared" si="161"/>
        <v>#REF!</v>
      </c>
      <c r="AV75" s="447" t="e">
        <f t="shared" si="162"/>
        <v>#REF!</v>
      </c>
      <c r="AW75" s="447" t="e">
        <f t="shared" si="163"/>
        <v>#REF!</v>
      </c>
      <c r="AX75" s="447" t="e">
        <f t="shared" si="164"/>
        <v>#REF!</v>
      </c>
      <c r="AY75" s="447" t="e">
        <f t="shared" si="165"/>
        <v>#REF!</v>
      </c>
      <c r="AZ75" s="445" t="e">
        <f t="shared" si="166"/>
        <v>#REF!</v>
      </c>
      <c r="BA75" s="447" t="e">
        <f t="shared" ca="1" si="167"/>
        <v>#NAME?</v>
      </c>
      <c r="BB75" s="447" t="e">
        <f t="shared" ca="1" si="168"/>
        <v>#NAME?</v>
      </c>
      <c r="BC75" s="447" t="e">
        <f t="shared" si="169"/>
        <v>#REF!</v>
      </c>
      <c r="BD75" s="447" t="e">
        <f t="shared" si="170"/>
        <v>#REF!</v>
      </c>
      <c r="BE75" s="447" t="e">
        <f t="shared" si="171"/>
        <v>#REF!</v>
      </c>
      <c r="BF75" s="447" t="e">
        <f t="shared" si="172"/>
        <v>#REF!</v>
      </c>
      <c r="BG75" s="18"/>
      <c r="BH75" s="2" t="e">
        <f t="shared" ca="1" si="173"/>
        <v>#REF!</v>
      </c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</row>
    <row r="76" spans="1:76" x14ac:dyDescent="0.2">
      <c r="A76" s="563" t="s">
        <v>251</v>
      </c>
      <c r="B76" s="591"/>
      <c r="C76" s="585"/>
      <c r="D76" s="51"/>
      <c r="E76" s="68"/>
      <c r="F76" s="68"/>
      <c r="G76" s="394"/>
      <c r="H76" s="265"/>
      <c r="I76" s="265"/>
      <c r="J76" s="265"/>
      <c r="K76" s="265"/>
      <c r="L76" s="265"/>
      <c r="M76" s="265"/>
      <c r="N76" s="265"/>
      <c r="O76" s="265"/>
      <c r="P76" s="265"/>
      <c r="Q76" s="265"/>
      <c r="R76" s="8"/>
      <c r="S76" s="68"/>
      <c r="T76" s="539"/>
      <c r="U76" s="539"/>
      <c r="V76" s="540"/>
      <c r="W76" s="540"/>
      <c r="X76" s="541"/>
      <c r="Y76" s="15"/>
      <c r="Z76" s="540"/>
      <c r="AA76" s="68"/>
      <c r="AB76" s="539"/>
      <c r="AC76" s="539"/>
      <c r="AD76" s="540"/>
      <c r="AE76" s="540"/>
      <c r="AF76" s="541"/>
      <c r="AG76" s="15"/>
      <c r="AH76" s="540"/>
      <c r="AI76" s="68"/>
      <c r="AJ76" s="539"/>
      <c r="AK76" s="539"/>
      <c r="AL76" s="540"/>
      <c r="AM76" s="540"/>
      <c r="AN76" s="541"/>
      <c r="AO76" s="15"/>
      <c r="AP76" s="540"/>
      <c r="AQ76" s="15"/>
      <c r="AR76" s="15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69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</row>
    <row r="77" spans="1:76" x14ac:dyDescent="0.2">
      <c r="A77" s="576" t="str">
        <f>'DDR2 Strobes - 2x16_1R SODIMM'!$A$37</f>
        <v>SA_DQS6</v>
      </c>
      <c r="B77" s="592" t="str">
        <f>'DDR2 Strobes - 2x16_1R SODIMM'!$B$37</f>
        <v>AB14</v>
      </c>
      <c r="C77" s="586"/>
      <c r="D77" s="44"/>
      <c r="E77" s="67"/>
      <c r="F77" s="67"/>
      <c r="G77" s="602"/>
      <c r="H77" s="603"/>
      <c r="I77" s="603"/>
      <c r="J77" s="603"/>
      <c r="K77" s="603"/>
      <c r="L77" s="603"/>
      <c r="M77" s="603"/>
      <c r="N77" s="603"/>
      <c r="O77" s="603"/>
      <c r="P77" s="603"/>
      <c r="Q77" s="603"/>
      <c r="R77" s="67"/>
      <c r="S77" s="67"/>
      <c r="T77" s="48"/>
      <c r="U77" s="48" t="e">
        <f>'DDR2 Strobes - 2x16_1R SODIMM'!$U$37</f>
        <v>#REF!</v>
      </c>
      <c r="V77" s="48"/>
      <c r="W77" s="48"/>
      <c r="X77" s="48"/>
      <c r="Y77" s="542"/>
      <c r="Z77" s="48"/>
      <c r="AA77" s="67"/>
      <c r="AB77" s="48"/>
      <c r="AC77" s="48" t="e">
        <f>'DDR2 Strobes - 2x16_1R SODIMM'!$AD$37</f>
        <v>#REF!</v>
      </c>
      <c r="AD77" s="48"/>
      <c r="AE77" s="48"/>
      <c r="AF77" s="48"/>
      <c r="AG77" s="542"/>
      <c r="AH77" s="48"/>
      <c r="AI77" s="67"/>
      <c r="AJ77" s="48"/>
      <c r="AK77" s="48" t="e">
        <f>'DDR2 Strobes - 2x16_1R SODIMM'!$AL$37</f>
        <v>#REF!</v>
      </c>
      <c r="AL77" s="48"/>
      <c r="AM77" s="48"/>
      <c r="AN77" s="48"/>
      <c r="AO77" s="542"/>
      <c r="AP77" s="48"/>
      <c r="AQ77" s="542"/>
      <c r="AR77" s="542"/>
      <c r="AS77" s="542"/>
      <c r="AT77" s="542"/>
      <c r="AU77" s="542"/>
      <c r="AV77" s="542"/>
      <c r="AW77" s="542"/>
      <c r="AX77" s="542"/>
      <c r="AY77" s="542"/>
      <c r="AZ77" s="542"/>
      <c r="BA77" s="542"/>
      <c r="BB77" s="542"/>
      <c r="BC77" s="542"/>
      <c r="BD77" s="542"/>
      <c r="BE77" s="542"/>
      <c r="BF77" s="542"/>
      <c r="BG77" s="48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</row>
    <row r="78" spans="1:76" x14ac:dyDescent="0.2">
      <c r="A78" s="576" t="str">
        <f>'DDR2 Strobes - 2x16_1R SODIMM'!$A$38</f>
        <v>SA_DQS6#</v>
      </c>
      <c r="B78" s="592" t="str">
        <f>'DDR2 Strobes - 2x16_1R SODIMM'!$B$38</f>
        <v>AB13</v>
      </c>
      <c r="C78" s="586"/>
      <c r="D78" s="44"/>
      <c r="E78" s="67"/>
      <c r="F78" s="67"/>
      <c r="G78" s="602"/>
      <c r="H78" s="603"/>
      <c r="I78" s="603"/>
      <c r="J78" s="603"/>
      <c r="K78" s="603"/>
      <c r="L78" s="603"/>
      <c r="M78" s="603"/>
      <c r="N78" s="603"/>
      <c r="O78" s="603"/>
      <c r="P78" s="603"/>
      <c r="Q78" s="603"/>
      <c r="R78" s="67"/>
      <c r="S78" s="67"/>
      <c r="T78" s="537"/>
      <c r="U78" s="48" t="e">
        <f>'DDR2 Strobes - 2x16_1R SODIMM'!$U$38</f>
        <v>#REF!</v>
      </c>
      <c r="V78" s="48"/>
      <c r="W78" s="48"/>
      <c r="X78" s="48"/>
      <c r="Y78" s="542"/>
      <c r="Z78" s="48"/>
      <c r="AA78" s="536"/>
      <c r="AB78" s="537"/>
      <c r="AC78" s="48" t="e">
        <f>'DDR2 Strobes - 2x16_1R SODIMM'!$AD$38</f>
        <v>#REF!</v>
      </c>
      <c r="AD78" s="48"/>
      <c r="AE78" s="48"/>
      <c r="AF78" s="48"/>
      <c r="AG78" s="542"/>
      <c r="AH78" s="48"/>
      <c r="AI78" s="536"/>
      <c r="AJ78" s="537"/>
      <c r="AK78" s="48" t="e">
        <f>'DDR2 Strobes - 2x16_1R SODIMM'!$AL$38</f>
        <v>#REF!</v>
      </c>
      <c r="AL78" s="48"/>
      <c r="AM78" s="48"/>
      <c r="AN78" s="48"/>
      <c r="AO78" s="542"/>
      <c r="AP78" s="48"/>
      <c r="AQ78" s="542"/>
      <c r="AR78" s="542"/>
      <c r="AS78" s="543"/>
      <c r="AT78" s="543"/>
      <c r="AU78" s="543"/>
      <c r="AV78" s="543"/>
      <c r="AW78" s="543"/>
      <c r="AX78" s="543"/>
      <c r="AY78" s="543"/>
      <c r="AZ78" s="543"/>
      <c r="BA78" s="543"/>
      <c r="BB78" s="543"/>
      <c r="BC78" s="543"/>
      <c r="BD78" s="543"/>
      <c r="BE78" s="543"/>
      <c r="BF78" s="543"/>
      <c r="BG78" s="48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</row>
    <row r="79" spans="1:76" x14ac:dyDescent="0.2">
      <c r="A79" s="560" t="s">
        <v>222</v>
      </c>
      <c r="B79" s="595" t="s">
        <v>534</v>
      </c>
      <c r="C79" s="584">
        <v>846.81102362204729</v>
      </c>
      <c r="D79" s="16"/>
      <c r="E79" s="17">
        <v>22.63</v>
      </c>
      <c r="F79" s="17">
        <v>0</v>
      </c>
      <c r="G79">
        <v>1285.47</v>
      </c>
      <c r="H79">
        <v>40</v>
      </c>
      <c r="I79">
        <v>780.87</v>
      </c>
      <c r="J79">
        <v>85.78</v>
      </c>
      <c r="K79" s="17">
        <v>40</v>
      </c>
      <c r="L79">
        <v>44.57</v>
      </c>
      <c r="M79">
        <v>1229.31</v>
      </c>
      <c r="N79" s="271">
        <v>0</v>
      </c>
      <c r="O79" s="271">
        <v>0</v>
      </c>
      <c r="P79">
        <v>22.29</v>
      </c>
      <c r="Q79">
        <v>22.26</v>
      </c>
      <c r="R79" s="58"/>
      <c r="S79" s="441">
        <f t="shared" ref="S79:S87" si="174" xml:space="preserve"> E79+F79+G79+H79</f>
        <v>1348.1000000000001</v>
      </c>
      <c r="T79" s="441" t="e">
        <f t="shared" ref="T79:T87" si="175">S79+IF($B$2="mil",1,0.0254)*C79</f>
        <v>#REF!</v>
      </c>
      <c r="U79" s="441" t="e">
        <f>MAX(U$77:U$78)+IF($B$2="mil",1,0.0254)*DDR2Specs!$B$3</f>
        <v>#REF!</v>
      </c>
      <c r="V79" s="441" t="e">
        <f>MIN(U$77:U$78)+IF($B$2="mil",1,0.0254)*DDR2Specs!$C$3</f>
        <v>#REF!</v>
      </c>
      <c r="W79" s="18"/>
      <c r="X79" s="534" t="e">
        <f t="shared" ref="X79:X87" si="176">IF($T79&lt;$U79,$U79-$T79,"Pass")</f>
        <v>#REF!</v>
      </c>
      <c r="Y79" s="447" t="e">
        <f t="shared" ref="Y79:Y87" si="177">IF($T79&gt;$V79,$T79-$V79,"Pass")</f>
        <v>#REF!</v>
      </c>
      <c r="Z79" s="18"/>
      <c r="AA79" s="441">
        <f t="shared" ref="AA79:AA87" si="178">SUM(E79:G79,I79:N79,P79)</f>
        <v>3510.9200000000005</v>
      </c>
      <c r="AB79" s="441" t="e">
        <f t="shared" ref="AB79:AB87" si="179">AA79+IF($B$2="mil",1,0.0254)*$C79</f>
        <v>#REF!</v>
      </c>
      <c r="AC79" s="441" t="e">
        <f>MAX(AC$77:AC$78)+IF($B$2="mil",1,0.0254)*DDR2Specs!$E$3</f>
        <v>#REF!</v>
      </c>
      <c r="AD79" s="441" t="e">
        <f>MIN(AC$77:AC$78)+IF($B$2="mil",1,0.0254)*DDR2Specs!$F$3</f>
        <v>#REF!</v>
      </c>
      <c r="AE79" s="18"/>
      <c r="AF79" s="534" t="e">
        <f t="shared" ref="AF79:AF87" si="180">IF($AB79&lt;$AC79,$AC79-$AB79,"Pass")</f>
        <v>#REF!</v>
      </c>
      <c r="AG79" s="447" t="e">
        <f t="shared" ref="AG79:AG87" si="181">IF($AB79&gt;$AD79,$AB79-$AD79,"Pass")</f>
        <v>#REF!</v>
      </c>
      <c r="AH79" s="18"/>
      <c r="AI79" s="441">
        <f t="shared" ref="AI79:AI87" si="182">SUM(E79:G79,I79:M79,O79,Q79)</f>
        <v>3510.8900000000008</v>
      </c>
      <c r="AJ79" s="441" t="e">
        <f t="shared" ref="AJ79:AJ87" si="183">AI79+IF($B$2="mil",1,0.0254)*$C79</f>
        <v>#REF!</v>
      </c>
      <c r="AK79" s="441" t="e">
        <f>MAX(AK$77:AK$78)+IF($B$2="mil",1,0.0254)*DDR2Specs!$E$3</f>
        <v>#REF!</v>
      </c>
      <c r="AL79" s="441" t="e">
        <f>MIN(AK$77:AK$78)+IF($B$2="mil",1,0.0254)*DDR2Specs!$F$3</f>
        <v>#REF!</v>
      </c>
      <c r="AM79" s="18"/>
      <c r="AN79" s="534" t="e">
        <f t="shared" ref="AN79:AN87" si="184">IF($AJ79&lt;$AK79,$AK79-$AJ79,"Pass")</f>
        <v>#REF!</v>
      </c>
      <c r="AO79" s="447" t="e">
        <f t="shared" ref="AO79:AO87" si="185">IF($AJ79&gt;$AL79,$AJ79-$AL79,"Pass")</f>
        <v>#REF!</v>
      </c>
      <c r="AP79" s="18"/>
      <c r="AQ79" s="447" t="e">
        <f t="shared" ref="AQ79:AQ87" si="186">IF($E79&lt;=IF($B$2="mil",1,0.0254)*50,"Pass",IF($B$2="mil",1,0.0254)*50-$E79)</f>
        <v>#REF!</v>
      </c>
      <c r="AR79" s="447" t="e">
        <f t="shared" ref="AR79:AR87" si="187">IF($F79&lt;=IF($B$2="mil",1,0.0254)*500,"Pass",IF($B$2="mil",1,0.0254)*500-$F79)</f>
        <v>#REF!</v>
      </c>
      <c r="AS79" s="447" t="e">
        <f t="shared" ref="AS79:AS87" si="188">IF($H79&lt;=IF($B$2="mil",1,0.0254)*250,"Pass",IF($B$2="mil",1,0.0254)*250-$H79)</f>
        <v>#REF!</v>
      </c>
      <c r="AT79" s="447" t="e">
        <f t="shared" ref="AT79:AT87" ca="1" si="189">CheckLength(IF($B$2="mil",1,0.0254)*750, IF($B$2="mil",1,0.0254)*125-J79, 0, I79,J79,0)</f>
        <v>#NAME?</v>
      </c>
      <c r="AU79" s="447" t="e">
        <f t="shared" ref="AU79:AU87" si="190">IF($J79&lt;=IF($B$2="mil",1,0.0254)*125,"Pass",IF($B$2="mil",1,0.0254)*125-$J79)</f>
        <v>#REF!</v>
      </c>
      <c r="AV79" s="447" t="e">
        <f t="shared" ref="AV79:AV87" si="191">IF($L79&lt;=IF($B$2="mil",1,0.0254)*125,"Pass",IF($B$2="mil",1,0.0254)*125-$L79)</f>
        <v>#REF!</v>
      </c>
      <c r="AW79" s="447" t="e">
        <f t="shared" ref="AW79:AW87" si="192">IF(($L79+$M79)&lt;=IF($B$2="mil",1,0.0254)*1275,"Pass",IF($B$2="mil",1,0.0254)*1275-($L79+H79))</f>
        <v>#REF!</v>
      </c>
      <c r="AX79" s="447" t="e">
        <f t="shared" ref="AX79:AX87" si="193">IF($N79&lt;=IF($B$2="mil",1,0.0254)*150,"Pass",IF($B$2="mil",1,0.0254)*150-$N79)</f>
        <v>#REF!</v>
      </c>
      <c r="AY79" s="447" t="e">
        <f t="shared" ref="AY79:AY87" si="194">IF($O79&lt;=IF($B$2="mil",1,0.0254)*150,"Pass",IF($B$2="mil",1,0.0254)*150-$O79)</f>
        <v>#REF!</v>
      </c>
      <c r="AZ79" s="445" t="e">
        <f t="shared" ref="AZ79:AZ87" si="195">IF(MAX(N79:O79)-MIN(N79:O79)&lt;=IF($B$2="mil",1,0.0254)*50,"Pass",MAX(N79:O79)-MIN(N79:O79)-IF($B$2="mil",1,0.0254)*50)</f>
        <v>#REF!</v>
      </c>
      <c r="BA79" s="447" t="e">
        <f t="shared" ref="BA79:BA87" ca="1" si="196">CheckLength2(IF($B$2="mil",1,0.0254)*200,$P79,N79,0)</f>
        <v>#NAME?</v>
      </c>
      <c r="BB79" s="447" t="e">
        <f t="shared" ref="BB79:BB87" ca="1" si="197">CheckLength2(IF($B$2="mil",1,0.0254)*200,$Q79,O79,0)</f>
        <v>#NAME?</v>
      </c>
      <c r="BC79" s="447" t="e">
        <f t="shared" ref="BC79:BC87" si="198">IF(AND($S79&gt;=IF($B$2="mil",1,0.0254)*500, $S79&lt;=IF($B$2="mil",1,0.0254)*4000),"Pass",IF($B$2="mil",1,0.0254)*4000-$S79)</f>
        <v>#REF!</v>
      </c>
      <c r="BD79" s="447" t="e">
        <f t="shared" ref="BD79:BD87" si="199">IF(AND($T79&gt;=IF($B$2="mil",1,0.0254)*500, $T79&lt;=IF($B$2="mil",1,0.0254)*4500),"Pass",IF($B$2="mil",1,0.0254)*4500-$T79)</f>
        <v>#REF!</v>
      </c>
      <c r="BE79" s="447" t="e">
        <f t="shared" ref="BE79:BE87" si="200">IF(AND($AA79&gt;=IF($B$2="mil",1,0.0254)*500, $AA79&lt;=IF($B$2="mil",1,0.0254)*5500),"Pass",IF($B$2="mil",1,0.0254)*5500-$AA79)</f>
        <v>#REF!</v>
      </c>
      <c r="BF79" s="447" t="e">
        <f t="shared" ref="BF79:BF87" si="201">IF(AND($AB79&gt;=IF($B$2="mil",1,0.0254)*500, $AB79&lt;=IF($B$2="mil",1,0.0254)*6000),"Pass",IF($B$2="mil",1,0.0254)*6000-$AB79)</f>
        <v>#REF!</v>
      </c>
      <c r="BG79" s="18"/>
      <c r="BH79" s="2" t="e">
        <f t="shared" ref="BH79:BH87" ca="1" si="202">IF(AND(AN79="Pass",AO79="Pass",AQ79="Pass",BD79="Pass",AS79="Pass",AR79="Pass",BC79="Pass",X79="Pass",Y79="Pass",BB79="Pass",AW79="Pass",AX79="Pass",AY79="Pass",AZ79="Pass",BA79="Pass",AV79="Pass",AU79="Pass",AT79="Pass",AF79="Pass",AG79="Pass",BE79="Pass",BF79="Pass"),"Pass","Fail")</f>
        <v>#REF!</v>
      </c>
      <c r="BI79" s="2" t="e">
        <f ca="1">IF(AND(BH79="Pass",BH80="Pass",BH81="Pass",BH82="Pass",BH83="Pass",BH84="Pass",BH85="Pass",BH86="Pass",BH87="Pass"),"Pass","Fail")</f>
        <v>#REF!</v>
      </c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</row>
    <row r="80" spans="1:76" x14ac:dyDescent="0.2">
      <c r="A80" s="560" t="s">
        <v>223</v>
      </c>
      <c r="B80" s="589" t="s">
        <v>535</v>
      </c>
      <c r="C80" s="584">
        <v>749.48818897637796</v>
      </c>
      <c r="D80" s="16"/>
      <c r="E80" s="17">
        <v>22.63</v>
      </c>
      <c r="F80" s="17">
        <v>0</v>
      </c>
      <c r="G80">
        <v>1416.4</v>
      </c>
      <c r="H80">
        <v>7</v>
      </c>
      <c r="I80">
        <v>759</v>
      </c>
      <c r="J80">
        <v>85.78</v>
      </c>
      <c r="K80" s="17">
        <v>40</v>
      </c>
      <c r="L80">
        <v>42.23</v>
      </c>
      <c r="M80">
        <v>1216.4100000000001</v>
      </c>
      <c r="N80" s="271">
        <v>0</v>
      </c>
      <c r="O80" s="271">
        <v>0</v>
      </c>
      <c r="P80">
        <v>22.26</v>
      </c>
      <c r="Q80">
        <v>22.23</v>
      </c>
      <c r="R80" s="58"/>
      <c r="S80" s="441">
        <f t="shared" si="174"/>
        <v>1446.0300000000002</v>
      </c>
      <c r="T80" s="441" t="e">
        <f t="shared" si="175"/>
        <v>#REF!</v>
      </c>
      <c r="U80" s="441" t="e">
        <f>MAX(U$77:U$78)+IF($B$2="mil",1,0.0254)*DDR2Specs!$B$3</f>
        <v>#REF!</v>
      </c>
      <c r="V80" s="441" t="e">
        <f>MIN(U$77:U$78)+IF($B$2="mil",1,0.0254)*DDR2Specs!$C$3</f>
        <v>#REF!</v>
      </c>
      <c r="W80" s="18"/>
      <c r="X80" s="534" t="e">
        <f t="shared" si="176"/>
        <v>#REF!</v>
      </c>
      <c r="Y80" s="447" t="e">
        <f t="shared" si="177"/>
        <v>#REF!</v>
      </c>
      <c r="Z80" s="18"/>
      <c r="AA80" s="441">
        <f t="shared" si="178"/>
        <v>3604.7100000000009</v>
      </c>
      <c r="AB80" s="441" t="e">
        <f t="shared" si="179"/>
        <v>#REF!</v>
      </c>
      <c r="AC80" s="441" t="e">
        <f>MAX(AC$77:AC$78)+IF($B$2="mil",1,0.0254)*DDR2Specs!$E$3</f>
        <v>#REF!</v>
      </c>
      <c r="AD80" s="441" t="e">
        <f>MIN(AC$77:AC$78)+IF($B$2="mil",1,0.0254)*DDR2Specs!$F$3</f>
        <v>#REF!</v>
      </c>
      <c r="AE80" s="18"/>
      <c r="AF80" s="534" t="e">
        <f t="shared" si="180"/>
        <v>#REF!</v>
      </c>
      <c r="AG80" s="447" t="e">
        <f t="shared" si="181"/>
        <v>#REF!</v>
      </c>
      <c r="AH80" s="18"/>
      <c r="AI80" s="441">
        <f t="shared" si="182"/>
        <v>3604.6800000000007</v>
      </c>
      <c r="AJ80" s="441" t="e">
        <f t="shared" si="183"/>
        <v>#REF!</v>
      </c>
      <c r="AK80" s="441" t="e">
        <f>MAX(AK$77:AK$78)+IF($B$2="mil",1,0.0254)*DDR2Specs!$E$3</f>
        <v>#REF!</v>
      </c>
      <c r="AL80" s="441" t="e">
        <f>MIN(AK$77:AK$78)+IF($B$2="mil",1,0.0254)*DDR2Specs!$F$3</f>
        <v>#REF!</v>
      </c>
      <c r="AM80" s="18"/>
      <c r="AN80" s="534" t="e">
        <f t="shared" si="184"/>
        <v>#REF!</v>
      </c>
      <c r="AO80" s="447" t="e">
        <f t="shared" si="185"/>
        <v>#REF!</v>
      </c>
      <c r="AP80" s="18"/>
      <c r="AQ80" s="447" t="e">
        <f t="shared" si="186"/>
        <v>#REF!</v>
      </c>
      <c r="AR80" s="447" t="e">
        <f t="shared" si="187"/>
        <v>#REF!</v>
      </c>
      <c r="AS80" s="447" t="e">
        <f t="shared" si="188"/>
        <v>#REF!</v>
      </c>
      <c r="AT80" s="447" t="e">
        <f t="shared" ca="1" si="189"/>
        <v>#NAME?</v>
      </c>
      <c r="AU80" s="447" t="e">
        <f t="shared" si="190"/>
        <v>#REF!</v>
      </c>
      <c r="AV80" s="447" t="e">
        <f t="shared" si="191"/>
        <v>#REF!</v>
      </c>
      <c r="AW80" s="447" t="e">
        <f t="shared" si="192"/>
        <v>#REF!</v>
      </c>
      <c r="AX80" s="447" t="e">
        <f t="shared" si="193"/>
        <v>#REF!</v>
      </c>
      <c r="AY80" s="447" t="e">
        <f t="shared" si="194"/>
        <v>#REF!</v>
      </c>
      <c r="AZ80" s="445" t="e">
        <f t="shared" si="195"/>
        <v>#REF!</v>
      </c>
      <c r="BA80" s="447" t="e">
        <f t="shared" ca="1" si="196"/>
        <v>#NAME?</v>
      </c>
      <c r="BB80" s="447" t="e">
        <f t="shared" ca="1" si="197"/>
        <v>#NAME?</v>
      </c>
      <c r="BC80" s="447" t="e">
        <f t="shared" si="198"/>
        <v>#REF!</v>
      </c>
      <c r="BD80" s="447" t="e">
        <f t="shared" si="199"/>
        <v>#REF!</v>
      </c>
      <c r="BE80" s="447" t="e">
        <f t="shared" si="200"/>
        <v>#REF!</v>
      </c>
      <c r="BF80" s="447" t="e">
        <f t="shared" si="201"/>
        <v>#REF!</v>
      </c>
      <c r="BG80" s="18"/>
      <c r="BH80" s="2" t="e">
        <f t="shared" ca="1" si="202"/>
        <v>#REF!</v>
      </c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</row>
    <row r="81" spans="1:76" x14ac:dyDescent="0.2">
      <c r="A81" s="560" t="s">
        <v>224</v>
      </c>
      <c r="B81" s="589" t="s">
        <v>161</v>
      </c>
      <c r="C81" s="584">
        <v>668.97637795275591</v>
      </c>
      <c r="D81" s="16"/>
      <c r="E81" s="17">
        <v>22.63</v>
      </c>
      <c r="F81" s="17">
        <v>0</v>
      </c>
      <c r="G81">
        <v>1465.88</v>
      </c>
      <c r="H81">
        <v>30</v>
      </c>
      <c r="I81">
        <v>790.71</v>
      </c>
      <c r="J81">
        <v>81.64</v>
      </c>
      <c r="K81" s="17">
        <v>40</v>
      </c>
      <c r="L81">
        <v>85.78</v>
      </c>
      <c r="M81">
        <v>1188.9100000000001</v>
      </c>
      <c r="N81" s="271">
        <v>0</v>
      </c>
      <c r="O81" s="271">
        <v>0</v>
      </c>
      <c r="P81">
        <v>22.28</v>
      </c>
      <c r="Q81">
        <v>22.25</v>
      </c>
      <c r="R81" s="58"/>
      <c r="S81" s="441">
        <f t="shared" si="174"/>
        <v>1518.5100000000002</v>
      </c>
      <c r="T81" s="441" t="e">
        <f t="shared" si="175"/>
        <v>#REF!</v>
      </c>
      <c r="U81" s="441" t="e">
        <f>MAX(U$77:U$78)+IF($B$2="mil",1,0.0254)*DDR2Specs!$B$3</f>
        <v>#REF!</v>
      </c>
      <c r="V81" s="441" t="e">
        <f>MIN(U$77:U$78)+IF($B$2="mil",1,0.0254)*DDR2Specs!$C$3</f>
        <v>#REF!</v>
      </c>
      <c r="W81" s="18"/>
      <c r="X81" s="534" t="e">
        <f t="shared" si="176"/>
        <v>#REF!</v>
      </c>
      <c r="Y81" s="447" t="e">
        <f t="shared" si="177"/>
        <v>#REF!</v>
      </c>
      <c r="Z81" s="18"/>
      <c r="AA81" s="441">
        <f t="shared" si="178"/>
        <v>3697.8300000000004</v>
      </c>
      <c r="AB81" s="441" t="e">
        <f t="shared" si="179"/>
        <v>#REF!</v>
      </c>
      <c r="AC81" s="441" t="e">
        <f>MAX(AC$77:AC$78)+IF($B$2="mil",1,0.0254)*DDR2Specs!$E$3</f>
        <v>#REF!</v>
      </c>
      <c r="AD81" s="441" t="e">
        <f>MIN(AC$77:AC$78)+IF($B$2="mil",1,0.0254)*DDR2Specs!$F$3</f>
        <v>#REF!</v>
      </c>
      <c r="AE81" s="18"/>
      <c r="AF81" s="534" t="e">
        <f t="shared" si="180"/>
        <v>#REF!</v>
      </c>
      <c r="AG81" s="447" t="e">
        <f t="shared" si="181"/>
        <v>#REF!</v>
      </c>
      <c r="AH81" s="18"/>
      <c r="AI81" s="441">
        <f t="shared" si="182"/>
        <v>3697.8</v>
      </c>
      <c r="AJ81" s="441" t="e">
        <f t="shared" si="183"/>
        <v>#REF!</v>
      </c>
      <c r="AK81" s="441" t="e">
        <f>MAX(AK$77:AK$78)+IF($B$2="mil",1,0.0254)*DDR2Specs!$E$3</f>
        <v>#REF!</v>
      </c>
      <c r="AL81" s="441" t="e">
        <f>MIN(AK$77:AK$78)+IF($B$2="mil",1,0.0254)*DDR2Specs!$F$3</f>
        <v>#REF!</v>
      </c>
      <c r="AM81" s="18"/>
      <c r="AN81" s="534" t="e">
        <f t="shared" si="184"/>
        <v>#REF!</v>
      </c>
      <c r="AO81" s="447" t="e">
        <f t="shared" si="185"/>
        <v>#REF!</v>
      </c>
      <c r="AP81" s="18"/>
      <c r="AQ81" s="447" t="e">
        <f t="shared" si="186"/>
        <v>#REF!</v>
      </c>
      <c r="AR81" s="447" t="e">
        <f t="shared" si="187"/>
        <v>#REF!</v>
      </c>
      <c r="AS81" s="447" t="e">
        <f t="shared" si="188"/>
        <v>#REF!</v>
      </c>
      <c r="AT81" s="447" t="e">
        <f t="shared" ca="1" si="189"/>
        <v>#NAME?</v>
      </c>
      <c r="AU81" s="447" t="e">
        <f t="shared" si="190"/>
        <v>#REF!</v>
      </c>
      <c r="AV81" s="447" t="e">
        <f t="shared" si="191"/>
        <v>#REF!</v>
      </c>
      <c r="AW81" s="447" t="e">
        <f t="shared" si="192"/>
        <v>#REF!</v>
      </c>
      <c r="AX81" s="447" t="e">
        <f t="shared" si="193"/>
        <v>#REF!</v>
      </c>
      <c r="AY81" s="447" t="e">
        <f t="shared" si="194"/>
        <v>#REF!</v>
      </c>
      <c r="AZ81" s="445" t="e">
        <f t="shared" si="195"/>
        <v>#REF!</v>
      </c>
      <c r="BA81" s="447" t="e">
        <f t="shared" ca="1" si="196"/>
        <v>#NAME?</v>
      </c>
      <c r="BB81" s="447" t="e">
        <f t="shared" ca="1" si="197"/>
        <v>#NAME?</v>
      </c>
      <c r="BC81" s="447" t="e">
        <f t="shared" si="198"/>
        <v>#REF!</v>
      </c>
      <c r="BD81" s="447" t="e">
        <f t="shared" si="199"/>
        <v>#REF!</v>
      </c>
      <c r="BE81" s="447" t="e">
        <f t="shared" si="200"/>
        <v>#REF!</v>
      </c>
      <c r="BF81" s="447" t="e">
        <f t="shared" si="201"/>
        <v>#REF!</v>
      </c>
      <c r="BG81" s="18"/>
      <c r="BH81" s="2" t="e">
        <f t="shared" ca="1" si="202"/>
        <v>#REF!</v>
      </c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</row>
    <row r="82" spans="1:76" x14ac:dyDescent="0.2">
      <c r="A82" s="560" t="s">
        <v>225</v>
      </c>
      <c r="B82" s="589" t="s">
        <v>536</v>
      </c>
      <c r="C82" s="584">
        <v>678.50393700787413</v>
      </c>
      <c r="D82" s="16"/>
      <c r="E82" s="17">
        <v>22.63</v>
      </c>
      <c r="F82" s="17">
        <v>0</v>
      </c>
      <c r="G82">
        <v>1461.52</v>
      </c>
      <c r="H82">
        <v>25</v>
      </c>
      <c r="I82">
        <v>785.11</v>
      </c>
      <c r="J82">
        <v>85.78</v>
      </c>
      <c r="K82" s="17">
        <v>40</v>
      </c>
      <c r="L82">
        <v>44.57</v>
      </c>
      <c r="M82">
        <v>1219.69</v>
      </c>
      <c r="N82" s="271">
        <v>0</v>
      </c>
      <c r="O82" s="271">
        <v>0</v>
      </c>
      <c r="P82">
        <v>22.25</v>
      </c>
      <c r="Q82">
        <v>22.28</v>
      </c>
      <c r="R82" s="58"/>
      <c r="S82" s="441">
        <f t="shared" si="174"/>
        <v>1509.15</v>
      </c>
      <c r="T82" s="441" t="e">
        <f t="shared" si="175"/>
        <v>#REF!</v>
      </c>
      <c r="U82" s="441" t="e">
        <f>MAX(U$77:U$78)+IF($B$2="mil",1,0.0254)*DDR2Specs!$B$3</f>
        <v>#REF!</v>
      </c>
      <c r="V82" s="441" t="e">
        <f>MIN(U$77:U$78)+IF($B$2="mil",1,0.0254)*DDR2Specs!$C$3</f>
        <v>#REF!</v>
      </c>
      <c r="W82" s="18"/>
      <c r="X82" s="534" t="e">
        <f t="shared" si="176"/>
        <v>#REF!</v>
      </c>
      <c r="Y82" s="447" t="e">
        <f t="shared" si="177"/>
        <v>#REF!</v>
      </c>
      <c r="Z82" s="18"/>
      <c r="AA82" s="441">
        <f t="shared" si="178"/>
        <v>3681.5500000000006</v>
      </c>
      <c r="AB82" s="441" t="e">
        <f t="shared" si="179"/>
        <v>#REF!</v>
      </c>
      <c r="AC82" s="441" t="e">
        <f>MAX(AC$77:AC$78)+IF($B$2="mil",1,0.0254)*DDR2Specs!$E$3</f>
        <v>#REF!</v>
      </c>
      <c r="AD82" s="441" t="e">
        <f>MIN(AC$77:AC$78)+IF($B$2="mil",1,0.0254)*DDR2Specs!$F$3</f>
        <v>#REF!</v>
      </c>
      <c r="AE82" s="18"/>
      <c r="AF82" s="534" t="e">
        <f t="shared" si="180"/>
        <v>#REF!</v>
      </c>
      <c r="AG82" s="447" t="e">
        <f t="shared" si="181"/>
        <v>#REF!</v>
      </c>
      <c r="AH82" s="18"/>
      <c r="AI82" s="441">
        <f t="shared" si="182"/>
        <v>3681.5800000000008</v>
      </c>
      <c r="AJ82" s="441" t="e">
        <f t="shared" si="183"/>
        <v>#REF!</v>
      </c>
      <c r="AK82" s="441" t="e">
        <f>MAX(AK$77:AK$78)+IF($B$2="mil",1,0.0254)*DDR2Specs!$E$3</f>
        <v>#REF!</v>
      </c>
      <c r="AL82" s="441" t="e">
        <f>MIN(AK$77:AK$78)+IF($B$2="mil",1,0.0254)*DDR2Specs!$F$3</f>
        <v>#REF!</v>
      </c>
      <c r="AM82" s="18"/>
      <c r="AN82" s="534" t="e">
        <f t="shared" si="184"/>
        <v>#REF!</v>
      </c>
      <c r="AO82" s="447" t="e">
        <f t="shared" si="185"/>
        <v>#REF!</v>
      </c>
      <c r="AP82" s="18"/>
      <c r="AQ82" s="447" t="e">
        <f t="shared" si="186"/>
        <v>#REF!</v>
      </c>
      <c r="AR82" s="447" t="e">
        <f t="shared" si="187"/>
        <v>#REF!</v>
      </c>
      <c r="AS82" s="447" t="e">
        <f t="shared" si="188"/>
        <v>#REF!</v>
      </c>
      <c r="AT82" s="447" t="e">
        <f t="shared" ca="1" si="189"/>
        <v>#NAME?</v>
      </c>
      <c r="AU82" s="447" t="e">
        <f t="shared" si="190"/>
        <v>#REF!</v>
      </c>
      <c r="AV82" s="447" t="e">
        <f t="shared" si="191"/>
        <v>#REF!</v>
      </c>
      <c r="AW82" s="447" t="e">
        <f t="shared" si="192"/>
        <v>#REF!</v>
      </c>
      <c r="AX82" s="447" t="e">
        <f t="shared" si="193"/>
        <v>#REF!</v>
      </c>
      <c r="AY82" s="447" t="e">
        <f t="shared" si="194"/>
        <v>#REF!</v>
      </c>
      <c r="AZ82" s="445" t="e">
        <f t="shared" si="195"/>
        <v>#REF!</v>
      </c>
      <c r="BA82" s="447" t="e">
        <f t="shared" ca="1" si="196"/>
        <v>#NAME?</v>
      </c>
      <c r="BB82" s="447" t="e">
        <f t="shared" ca="1" si="197"/>
        <v>#NAME?</v>
      </c>
      <c r="BC82" s="447" t="e">
        <f t="shared" si="198"/>
        <v>#REF!</v>
      </c>
      <c r="BD82" s="447" t="e">
        <f t="shared" si="199"/>
        <v>#REF!</v>
      </c>
      <c r="BE82" s="447" t="e">
        <f t="shared" si="200"/>
        <v>#REF!</v>
      </c>
      <c r="BF82" s="447" t="e">
        <f t="shared" si="201"/>
        <v>#REF!</v>
      </c>
      <c r="BG82" s="18"/>
      <c r="BH82" s="2" t="e">
        <f t="shared" ca="1" si="202"/>
        <v>#REF!</v>
      </c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</row>
    <row r="83" spans="1:76" x14ac:dyDescent="0.2">
      <c r="A83" s="560" t="s">
        <v>226</v>
      </c>
      <c r="B83" s="589" t="s">
        <v>537</v>
      </c>
      <c r="C83" s="584">
        <v>794.01574803149606</v>
      </c>
      <c r="D83" s="16"/>
      <c r="E83" s="17">
        <v>22.63</v>
      </c>
      <c r="F83" s="17">
        <v>0</v>
      </c>
      <c r="G83">
        <v>1290.31</v>
      </c>
      <c r="H83">
        <v>80</v>
      </c>
      <c r="I83">
        <v>790.77</v>
      </c>
      <c r="J83">
        <v>81.64</v>
      </c>
      <c r="K83" s="17">
        <v>40</v>
      </c>
      <c r="L83">
        <v>29.57</v>
      </c>
      <c r="M83">
        <v>1245.1600000000001</v>
      </c>
      <c r="N83" s="271">
        <v>0</v>
      </c>
      <c r="O83" s="271">
        <v>0</v>
      </c>
      <c r="P83">
        <v>64.760000000000005</v>
      </c>
      <c r="Q83">
        <v>64.790000000000006</v>
      </c>
      <c r="R83" s="58"/>
      <c r="S83" s="441">
        <f t="shared" si="174"/>
        <v>1392.94</v>
      </c>
      <c r="T83" s="441" t="e">
        <f t="shared" si="175"/>
        <v>#REF!</v>
      </c>
      <c r="U83" s="441" t="e">
        <f>MAX(U$77:U$78)+IF($B$2="mil",1,0.0254)*DDR2Specs!$B$3</f>
        <v>#REF!</v>
      </c>
      <c r="V83" s="441" t="e">
        <f>MIN(U$77:U$78)+IF($B$2="mil",1,0.0254)*DDR2Specs!$C$3</f>
        <v>#REF!</v>
      </c>
      <c r="W83" s="18"/>
      <c r="X83" s="534" t="e">
        <f t="shared" si="176"/>
        <v>#REF!</v>
      </c>
      <c r="Y83" s="447" t="e">
        <f t="shared" si="177"/>
        <v>#REF!</v>
      </c>
      <c r="Z83" s="18"/>
      <c r="AA83" s="441">
        <f t="shared" si="178"/>
        <v>3564.84</v>
      </c>
      <c r="AB83" s="441" t="e">
        <f t="shared" si="179"/>
        <v>#REF!</v>
      </c>
      <c r="AC83" s="441" t="e">
        <f>MAX(AC$77:AC$78)+IF($B$2="mil",1,0.0254)*DDR2Specs!$E$3</f>
        <v>#REF!</v>
      </c>
      <c r="AD83" s="441" t="e">
        <f>MIN(AC$77:AC$78)+IF($B$2="mil",1,0.0254)*DDR2Specs!$F$3</f>
        <v>#REF!</v>
      </c>
      <c r="AE83" s="18"/>
      <c r="AF83" s="534" t="e">
        <f t="shared" si="180"/>
        <v>#REF!</v>
      </c>
      <c r="AG83" s="447" t="e">
        <f t="shared" si="181"/>
        <v>#REF!</v>
      </c>
      <c r="AH83" s="18"/>
      <c r="AI83" s="441">
        <f t="shared" si="182"/>
        <v>3564.87</v>
      </c>
      <c r="AJ83" s="441" t="e">
        <f t="shared" si="183"/>
        <v>#REF!</v>
      </c>
      <c r="AK83" s="441" t="e">
        <f>MAX(AK$77:AK$78)+IF($B$2="mil",1,0.0254)*DDR2Specs!$E$3</f>
        <v>#REF!</v>
      </c>
      <c r="AL83" s="441" t="e">
        <f>MIN(AK$77:AK$78)+IF($B$2="mil",1,0.0254)*DDR2Specs!$F$3</f>
        <v>#REF!</v>
      </c>
      <c r="AM83" s="18"/>
      <c r="AN83" s="534" t="e">
        <f t="shared" si="184"/>
        <v>#REF!</v>
      </c>
      <c r="AO83" s="447" t="e">
        <f t="shared" si="185"/>
        <v>#REF!</v>
      </c>
      <c r="AP83" s="18"/>
      <c r="AQ83" s="447" t="e">
        <f t="shared" si="186"/>
        <v>#REF!</v>
      </c>
      <c r="AR83" s="447" t="e">
        <f t="shared" si="187"/>
        <v>#REF!</v>
      </c>
      <c r="AS83" s="447" t="e">
        <f t="shared" si="188"/>
        <v>#REF!</v>
      </c>
      <c r="AT83" s="447" t="e">
        <f t="shared" ca="1" si="189"/>
        <v>#NAME?</v>
      </c>
      <c r="AU83" s="447" t="e">
        <f t="shared" si="190"/>
        <v>#REF!</v>
      </c>
      <c r="AV83" s="447" t="e">
        <f t="shared" si="191"/>
        <v>#REF!</v>
      </c>
      <c r="AW83" s="447" t="e">
        <f t="shared" si="192"/>
        <v>#REF!</v>
      </c>
      <c r="AX83" s="447" t="e">
        <f t="shared" si="193"/>
        <v>#REF!</v>
      </c>
      <c r="AY83" s="447" t="e">
        <f t="shared" si="194"/>
        <v>#REF!</v>
      </c>
      <c r="AZ83" s="445" t="e">
        <f t="shared" si="195"/>
        <v>#REF!</v>
      </c>
      <c r="BA83" s="447" t="e">
        <f t="shared" ca="1" si="196"/>
        <v>#NAME?</v>
      </c>
      <c r="BB83" s="447" t="e">
        <f t="shared" ca="1" si="197"/>
        <v>#NAME?</v>
      </c>
      <c r="BC83" s="447" t="e">
        <f t="shared" si="198"/>
        <v>#REF!</v>
      </c>
      <c r="BD83" s="447" t="e">
        <f t="shared" si="199"/>
        <v>#REF!</v>
      </c>
      <c r="BE83" s="447" t="e">
        <f t="shared" si="200"/>
        <v>#REF!</v>
      </c>
      <c r="BF83" s="447" t="e">
        <f t="shared" si="201"/>
        <v>#REF!</v>
      </c>
      <c r="BG83" s="18"/>
      <c r="BH83" s="2" t="e">
        <f t="shared" ca="1" si="202"/>
        <v>#REF!</v>
      </c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</row>
    <row r="84" spans="1:76" x14ac:dyDescent="0.2">
      <c r="A84" s="560" t="s">
        <v>227</v>
      </c>
      <c r="B84" s="589" t="s">
        <v>394</v>
      </c>
      <c r="C84" s="584">
        <v>766.88976377952758</v>
      </c>
      <c r="D84" s="16"/>
      <c r="E84" s="17">
        <v>22.63</v>
      </c>
      <c r="F84" s="17">
        <v>0</v>
      </c>
      <c r="G84">
        <v>1361.45</v>
      </c>
      <c r="H84">
        <v>40</v>
      </c>
      <c r="I84">
        <v>800.11</v>
      </c>
      <c r="J84">
        <v>44.57</v>
      </c>
      <c r="K84" s="17">
        <v>40</v>
      </c>
      <c r="L84">
        <v>85.78</v>
      </c>
      <c r="M84">
        <v>1160.23</v>
      </c>
      <c r="N84" s="271">
        <v>0</v>
      </c>
      <c r="O84" s="271">
        <v>0</v>
      </c>
      <c r="P84">
        <v>76.06</v>
      </c>
      <c r="Q84">
        <v>76.03</v>
      </c>
      <c r="R84" s="58"/>
      <c r="S84" s="441">
        <f t="shared" si="174"/>
        <v>1424.0800000000002</v>
      </c>
      <c r="T84" s="441" t="e">
        <f t="shared" si="175"/>
        <v>#REF!</v>
      </c>
      <c r="U84" s="441" t="e">
        <f>MAX(U$77:U$78)+IF($B$2="mil",1,0.0254)*DDR2Specs!$B$3</f>
        <v>#REF!</v>
      </c>
      <c r="V84" s="441" t="e">
        <f>MIN(U$77:U$78)+IF($B$2="mil",1,0.0254)*DDR2Specs!$C$3</f>
        <v>#REF!</v>
      </c>
      <c r="W84" s="18"/>
      <c r="X84" s="534" t="e">
        <f t="shared" si="176"/>
        <v>#REF!</v>
      </c>
      <c r="Y84" s="447" t="e">
        <f t="shared" si="177"/>
        <v>#REF!</v>
      </c>
      <c r="Z84" s="18"/>
      <c r="AA84" s="441">
        <f t="shared" si="178"/>
        <v>3590.8300000000004</v>
      </c>
      <c r="AB84" s="441" t="e">
        <f t="shared" si="179"/>
        <v>#REF!</v>
      </c>
      <c r="AC84" s="441" t="e">
        <f>MAX(AC$77:AC$78)+IF($B$2="mil",1,0.0254)*DDR2Specs!$E$3</f>
        <v>#REF!</v>
      </c>
      <c r="AD84" s="441" t="e">
        <f>MIN(AC$77:AC$78)+IF($B$2="mil",1,0.0254)*DDR2Specs!$F$3</f>
        <v>#REF!</v>
      </c>
      <c r="AE84" s="18"/>
      <c r="AF84" s="534" t="e">
        <f t="shared" si="180"/>
        <v>#REF!</v>
      </c>
      <c r="AG84" s="447" t="e">
        <f t="shared" si="181"/>
        <v>#REF!</v>
      </c>
      <c r="AH84" s="18"/>
      <c r="AI84" s="441">
        <f t="shared" si="182"/>
        <v>3590.8000000000006</v>
      </c>
      <c r="AJ84" s="441" t="e">
        <f t="shared" si="183"/>
        <v>#REF!</v>
      </c>
      <c r="AK84" s="441" t="e">
        <f>MAX(AK$77:AK$78)+IF($B$2="mil",1,0.0254)*DDR2Specs!$E$3</f>
        <v>#REF!</v>
      </c>
      <c r="AL84" s="441" t="e">
        <f>MIN(AK$77:AK$78)+IF($B$2="mil",1,0.0254)*DDR2Specs!$F$3</f>
        <v>#REF!</v>
      </c>
      <c r="AM84" s="18"/>
      <c r="AN84" s="534" t="e">
        <f t="shared" si="184"/>
        <v>#REF!</v>
      </c>
      <c r="AO84" s="447" t="e">
        <f t="shared" si="185"/>
        <v>#REF!</v>
      </c>
      <c r="AP84" s="18"/>
      <c r="AQ84" s="447" t="e">
        <f t="shared" si="186"/>
        <v>#REF!</v>
      </c>
      <c r="AR84" s="447" t="e">
        <f t="shared" si="187"/>
        <v>#REF!</v>
      </c>
      <c r="AS84" s="447" t="e">
        <f t="shared" si="188"/>
        <v>#REF!</v>
      </c>
      <c r="AT84" s="447" t="e">
        <f t="shared" ca="1" si="189"/>
        <v>#NAME?</v>
      </c>
      <c r="AU84" s="447" t="e">
        <f t="shared" si="190"/>
        <v>#REF!</v>
      </c>
      <c r="AV84" s="447" t="e">
        <f t="shared" si="191"/>
        <v>#REF!</v>
      </c>
      <c r="AW84" s="447" t="e">
        <f t="shared" si="192"/>
        <v>#REF!</v>
      </c>
      <c r="AX84" s="447" t="e">
        <f t="shared" si="193"/>
        <v>#REF!</v>
      </c>
      <c r="AY84" s="447" t="e">
        <f t="shared" si="194"/>
        <v>#REF!</v>
      </c>
      <c r="AZ84" s="445" t="e">
        <f t="shared" si="195"/>
        <v>#REF!</v>
      </c>
      <c r="BA84" s="447" t="e">
        <f t="shared" ca="1" si="196"/>
        <v>#NAME?</v>
      </c>
      <c r="BB84" s="447" t="e">
        <f t="shared" ca="1" si="197"/>
        <v>#NAME?</v>
      </c>
      <c r="BC84" s="447" t="e">
        <f t="shared" si="198"/>
        <v>#REF!</v>
      </c>
      <c r="BD84" s="447" t="e">
        <f t="shared" si="199"/>
        <v>#REF!</v>
      </c>
      <c r="BE84" s="447" t="e">
        <f t="shared" si="200"/>
        <v>#REF!</v>
      </c>
      <c r="BF84" s="447" t="e">
        <f t="shared" si="201"/>
        <v>#REF!</v>
      </c>
      <c r="BG84" s="18"/>
      <c r="BH84" s="2" t="e">
        <f t="shared" ca="1" si="202"/>
        <v>#REF!</v>
      </c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</row>
    <row r="85" spans="1:76" x14ac:dyDescent="0.2">
      <c r="A85" s="560" t="s">
        <v>228</v>
      </c>
      <c r="B85" s="589" t="s">
        <v>538</v>
      </c>
      <c r="C85" s="584">
        <v>662.00787401574814</v>
      </c>
      <c r="D85" s="16"/>
      <c r="E85" s="17">
        <v>22.63</v>
      </c>
      <c r="F85" s="17">
        <v>0</v>
      </c>
      <c r="G85">
        <v>1495.31</v>
      </c>
      <c r="H85">
        <v>15</v>
      </c>
      <c r="I85">
        <v>771.34</v>
      </c>
      <c r="J85">
        <v>85.78</v>
      </c>
      <c r="K85" s="17">
        <v>40</v>
      </c>
      <c r="L85">
        <v>85.78</v>
      </c>
      <c r="M85">
        <v>1169.1199999999999</v>
      </c>
      <c r="N85" s="271">
        <v>0</v>
      </c>
      <c r="O85" s="271">
        <v>0</v>
      </c>
      <c r="P85">
        <v>25.06</v>
      </c>
      <c r="Q85">
        <v>25.09</v>
      </c>
      <c r="R85" s="58"/>
      <c r="S85" s="441">
        <f t="shared" si="174"/>
        <v>1532.94</v>
      </c>
      <c r="T85" s="441" t="e">
        <f t="shared" si="175"/>
        <v>#REF!</v>
      </c>
      <c r="U85" s="441" t="e">
        <f>MAX(U$77:U$78)+IF($B$2="mil",1,0.0254)*DDR2Specs!$B$3</f>
        <v>#REF!</v>
      </c>
      <c r="V85" s="441" t="e">
        <f>MIN(U$77:U$78)+IF($B$2="mil",1,0.0254)*DDR2Specs!$C$3</f>
        <v>#REF!</v>
      </c>
      <c r="W85" s="18"/>
      <c r="X85" s="534" t="e">
        <f t="shared" si="176"/>
        <v>#REF!</v>
      </c>
      <c r="Y85" s="447" t="e">
        <f t="shared" si="177"/>
        <v>#REF!</v>
      </c>
      <c r="Z85" s="18"/>
      <c r="AA85" s="441">
        <f t="shared" si="178"/>
        <v>3695.0200000000004</v>
      </c>
      <c r="AB85" s="441" t="e">
        <f t="shared" si="179"/>
        <v>#REF!</v>
      </c>
      <c r="AC85" s="441" t="e">
        <f>MAX(AC$77:AC$78)+IF($B$2="mil",1,0.0254)*DDR2Specs!$E$3</f>
        <v>#REF!</v>
      </c>
      <c r="AD85" s="441" t="e">
        <f>MIN(AC$77:AC$78)+IF($B$2="mil",1,0.0254)*DDR2Specs!$F$3</f>
        <v>#REF!</v>
      </c>
      <c r="AE85" s="18"/>
      <c r="AF85" s="534" t="e">
        <f t="shared" si="180"/>
        <v>#REF!</v>
      </c>
      <c r="AG85" s="447" t="e">
        <f t="shared" si="181"/>
        <v>#REF!</v>
      </c>
      <c r="AH85" s="18"/>
      <c r="AI85" s="441">
        <f t="shared" si="182"/>
        <v>3695.0500000000006</v>
      </c>
      <c r="AJ85" s="441" t="e">
        <f t="shared" si="183"/>
        <v>#REF!</v>
      </c>
      <c r="AK85" s="441" t="e">
        <f>MAX(AK$77:AK$78)+IF($B$2="mil",1,0.0254)*DDR2Specs!$E$3</f>
        <v>#REF!</v>
      </c>
      <c r="AL85" s="441" t="e">
        <f>MIN(AK$77:AK$78)+IF($B$2="mil",1,0.0254)*DDR2Specs!$F$3</f>
        <v>#REF!</v>
      </c>
      <c r="AM85" s="18"/>
      <c r="AN85" s="534" t="e">
        <f t="shared" si="184"/>
        <v>#REF!</v>
      </c>
      <c r="AO85" s="447" t="e">
        <f t="shared" si="185"/>
        <v>#REF!</v>
      </c>
      <c r="AP85" s="18"/>
      <c r="AQ85" s="447" t="e">
        <f t="shared" si="186"/>
        <v>#REF!</v>
      </c>
      <c r="AR85" s="447" t="e">
        <f t="shared" si="187"/>
        <v>#REF!</v>
      </c>
      <c r="AS85" s="447" t="e">
        <f t="shared" si="188"/>
        <v>#REF!</v>
      </c>
      <c r="AT85" s="447" t="e">
        <f t="shared" ca="1" si="189"/>
        <v>#NAME?</v>
      </c>
      <c r="AU85" s="447" t="e">
        <f t="shared" si="190"/>
        <v>#REF!</v>
      </c>
      <c r="AV85" s="447" t="e">
        <f t="shared" si="191"/>
        <v>#REF!</v>
      </c>
      <c r="AW85" s="447" t="e">
        <f t="shared" si="192"/>
        <v>#REF!</v>
      </c>
      <c r="AX85" s="447" t="e">
        <f t="shared" si="193"/>
        <v>#REF!</v>
      </c>
      <c r="AY85" s="447" t="e">
        <f t="shared" si="194"/>
        <v>#REF!</v>
      </c>
      <c r="AZ85" s="445" t="e">
        <f t="shared" si="195"/>
        <v>#REF!</v>
      </c>
      <c r="BA85" s="447" t="e">
        <f t="shared" ca="1" si="196"/>
        <v>#NAME?</v>
      </c>
      <c r="BB85" s="447" t="e">
        <f t="shared" ca="1" si="197"/>
        <v>#NAME?</v>
      </c>
      <c r="BC85" s="447" t="e">
        <f t="shared" si="198"/>
        <v>#REF!</v>
      </c>
      <c r="BD85" s="447" t="e">
        <f t="shared" si="199"/>
        <v>#REF!</v>
      </c>
      <c r="BE85" s="447" t="e">
        <f t="shared" si="200"/>
        <v>#REF!</v>
      </c>
      <c r="BF85" s="447" t="e">
        <f t="shared" si="201"/>
        <v>#REF!</v>
      </c>
      <c r="BG85" s="18"/>
      <c r="BH85" s="2" t="e">
        <f t="shared" ca="1" si="202"/>
        <v>#REF!</v>
      </c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</row>
    <row r="86" spans="1:76" x14ac:dyDescent="0.2">
      <c r="A86" s="560" t="s">
        <v>229</v>
      </c>
      <c r="B86" s="589" t="s">
        <v>164</v>
      </c>
      <c r="C86" s="584">
        <v>655.43307086614175</v>
      </c>
      <c r="D86" s="16"/>
      <c r="E86" s="17">
        <v>22.63</v>
      </c>
      <c r="F86" s="17">
        <v>0</v>
      </c>
      <c r="G86">
        <v>1480.95</v>
      </c>
      <c r="H86">
        <v>30</v>
      </c>
      <c r="I86">
        <v>825.88</v>
      </c>
      <c r="J86">
        <v>44.57</v>
      </c>
      <c r="K86" s="17">
        <v>40</v>
      </c>
      <c r="L86">
        <v>44.57</v>
      </c>
      <c r="M86">
        <v>1219.02</v>
      </c>
      <c r="N86" s="271">
        <v>0</v>
      </c>
      <c r="O86" s="271">
        <v>0</v>
      </c>
      <c r="P86">
        <v>23.59</v>
      </c>
      <c r="Q86">
        <v>23.56</v>
      </c>
      <c r="R86" s="58"/>
      <c r="S86" s="441">
        <f t="shared" si="174"/>
        <v>1533.5800000000002</v>
      </c>
      <c r="T86" s="441" t="e">
        <f t="shared" si="175"/>
        <v>#REF!</v>
      </c>
      <c r="U86" s="441" t="e">
        <f>MAX(U$77:U$78)+IF($B$2="mil",1,0.0254)*DDR2Specs!$B$3</f>
        <v>#REF!</v>
      </c>
      <c r="V86" s="441" t="e">
        <f>MIN(U$77:U$78)+IF($B$2="mil",1,0.0254)*DDR2Specs!$C$3</f>
        <v>#REF!</v>
      </c>
      <c r="W86" s="18"/>
      <c r="X86" s="534" t="e">
        <f t="shared" si="176"/>
        <v>#REF!</v>
      </c>
      <c r="Y86" s="447" t="e">
        <f t="shared" si="177"/>
        <v>#REF!</v>
      </c>
      <c r="Z86" s="18"/>
      <c r="AA86" s="441">
        <f t="shared" si="178"/>
        <v>3701.2100000000005</v>
      </c>
      <c r="AB86" s="441" t="e">
        <f t="shared" si="179"/>
        <v>#REF!</v>
      </c>
      <c r="AC86" s="441" t="e">
        <f>MAX(AC$77:AC$78)+IF($B$2="mil",1,0.0254)*DDR2Specs!$E$3</f>
        <v>#REF!</v>
      </c>
      <c r="AD86" s="441" t="e">
        <f>MIN(AC$77:AC$78)+IF($B$2="mil",1,0.0254)*DDR2Specs!$F$3</f>
        <v>#REF!</v>
      </c>
      <c r="AE86" s="18"/>
      <c r="AF86" s="534" t="e">
        <f t="shared" si="180"/>
        <v>#REF!</v>
      </c>
      <c r="AG86" s="447" t="e">
        <f t="shared" si="181"/>
        <v>#REF!</v>
      </c>
      <c r="AH86" s="18"/>
      <c r="AI86" s="441">
        <f t="shared" si="182"/>
        <v>3701.1800000000003</v>
      </c>
      <c r="AJ86" s="441" t="e">
        <f t="shared" si="183"/>
        <v>#REF!</v>
      </c>
      <c r="AK86" s="441" t="e">
        <f>MAX(AK$77:AK$78)+IF($B$2="mil",1,0.0254)*DDR2Specs!$E$3</f>
        <v>#REF!</v>
      </c>
      <c r="AL86" s="441" t="e">
        <f>MIN(AK$77:AK$78)+IF($B$2="mil",1,0.0254)*DDR2Specs!$F$3</f>
        <v>#REF!</v>
      </c>
      <c r="AM86" s="18"/>
      <c r="AN86" s="534" t="e">
        <f t="shared" si="184"/>
        <v>#REF!</v>
      </c>
      <c r="AO86" s="447" t="e">
        <f t="shared" si="185"/>
        <v>#REF!</v>
      </c>
      <c r="AP86" s="18"/>
      <c r="AQ86" s="447" t="e">
        <f t="shared" si="186"/>
        <v>#REF!</v>
      </c>
      <c r="AR86" s="447" t="e">
        <f t="shared" si="187"/>
        <v>#REF!</v>
      </c>
      <c r="AS86" s="447" t="e">
        <f t="shared" si="188"/>
        <v>#REF!</v>
      </c>
      <c r="AT86" s="447" t="e">
        <f t="shared" ca="1" si="189"/>
        <v>#NAME?</v>
      </c>
      <c r="AU86" s="447" t="e">
        <f t="shared" si="190"/>
        <v>#REF!</v>
      </c>
      <c r="AV86" s="447" t="e">
        <f t="shared" si="191"/>
        <v>#REF!</v>
      </c>
      <c r="AW86" s="447" t="e">
        <f t="shared" si="192"/>
        <v>#REF!</v>
      </c>
      <c r="AX86" s="447" t="e">
        <f t="shared" si="193"/>
        <v>#REF!</v>
      </c>
      <c r="AY86" s="447" t="e">
        <f t="shared" si="194"/>
        <v>#REF!</v>
      </c>
      <c r="AZ86" s="445" t="e">
        <f t="shared" si="195"/>
        <v>#REF!</v>
      </c>
      <c r="BA86" s="447" t="e">
        <f t="shared" ca="1" si="196"/>
        <v>#NAME?</v>
      </c>
      <c r="BB86" s="447" t="e">
        <f t="shared" ca="1" si="197"/>
        <v>#NAME?</v>
      </c>
      <c r="BC86" s="447" t="e">
        <f t="shared" si="198"/>
        <v>#REF!</v>
      </c>
      <c r="BD86" s="447" t="e">
        <f t="shared" si="199"/>
        <v>#REF!</v>
      </c>
      <c r="BE86" s="447" t="e">
        <f t="shared" si="200"/>
        <v>#REF!</v>
      </c>
      <c r="BF86" s="447" t="e">
        <f t="shared" si="201"/>
        <v>#REF!</v>
      </c>
      <c r="BG86" s="18"/>
      <c r="BH86" s="2" t="e">
        <f t="shared" ca="1" si="202"/>
        <v>#REF!</v>
      </c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</row>
    <row r="87" spans="1:76" x14ac:dyDescent="0.2">
      <c r="A87" s="560" t="s">
        <v>230</v>
      </c>
      <c r="B87" s="590" t="s">
        <v>557</v>
      </c>
      <c r="C87" s="584">
        <v>709.09448818897636</v>
      </c>
      <c r="D87" s="16"/>
      <c r="E87" s="17">
        <v>22.63</v>
      </c>
      <c r="F87" s="17">
        <v>0</v>
      </c>
      <c r="G87">
        <v>1389.07</v>
      </c>
      <c r="H87">
        <v>58</v>
      </c>
      <c r="I87">
        <v>780.83</v>
      </c>
      <c r="J87">
        <v>85.78</v>
      </c>
      <c r="K87" s="17">
        <v>40</v>
      </c>
      <c r="L87">
        <v>44.57</v>
      </c>
      <c r="M87">
        <v>1214.5899999999999</v>
      </c>
      <c r="N87" s="271">
        <v>0</v>
      </c>
      <c r="O87" s="271">
        <v>0</v>
      </c>
      <c r="P87">
        <v>72.97</v>
      </c>
      <c r="Q87">
        <v>70.47</v>
      </c>
      <c r="R87" s="58"/>
      <c r="S87" s="441">
        <f t="shared" si="174"/>
        <v>1469.7</v>
      </c>
      <c r="T87" s="441" t="e">
        <f t="shared" si="175"/>
        <v>#REF!</v>
      </c>
      <c r="U87" s="441" t="e">
        <f>MAX(U$77:U$78)+IF($B$2="mil",1,0.0254)*DDR2Specs!$B$3</f>
        <v>#REF!</v>
      </c>
      <c r="V87" s="441" t="e">
        <f>MIN(U$77:U$78)+IF($B$2="mil",1,0.0254)*DDR2Specs!$C$3</f>
        <v>#REF!</v>
      </c>
      <c r="W87" s="18"/>
      <c r="X87" s="534" t="e">
        <f t="shared" si="176"/>
        <v>#REF!</v>
      </c>
      <c r="Y87" s="447" t="e">
        <f t="shared" si="177"/>
        <v>#REF!</v>
      </c>
      <c r="Z87" s="18"/>
      <c r="AA87" s="441">
        <f t="shared" si="178"/>
        <v>3650.44</v>
      </c>
      <c r="AB87" s="441" t="e">
        <f t="shared" si="179"/>
        <v>#REF!</v>
      </c>
      <c r="AC87" s="441" t="e">
        <f>MAX(AC$77:AC$78)+IF($B$2="mil",1,0.0254)*DDR2Specs!$E$3</f>
        <v>#REF!</v>
      </c>
      <c r="AD87" s="441" t="e">
        <f>MIN(AC$77:AC$78)+IF($B$2="mil",1,0.0254)*DDR2Specs!$F$3</f>
        <v>#REF!</v>
      </c>
      <c r="AE87" s="18"/>
      <c r="AF87" s="534" t="e">
        <f t="shared" si="180"/>
        <v>#REF!</v>
      </c>
      <c r="AG87" s="447" t="e">
        <f t="shared" si="181"/>
        <v>#REF!</v>
      </c>
      <c r="AH87" s="18"/>
      <c r="AI87" s="441">
        <f t="shared" si="182"/>
        <v>3647.94</v>
      </c>
      <c r="AJ87" s="441" t="e">
        <f t="shared" si="183"/>
        <v>#REF!</v>
      </c>
      <c r="AK87" s="441" t="e">
        <f>MAX(AK$77:AK$78)+IF($B$2="mil",1,0.0254)*DDR2Specs!$E$3</f>
        <v>#REF!</v>
      </c>
      <c r="AL87" s="441" t="e">
        <f>MIN(AK$77:AK$78)+IF($B$2="mil",1,0.0254)*DDR2Specs!$F$3</f>
        <v>#REF!</v>
      </c>
      <c r="AM87" s="18"/>
      <c r="AN87" s="534" t="e">
        <f t="shared" si="184"/>
        <v>#REF!</v>
      </c>
      <c r="AO87" s="447" t="e">
        <f t="shared" si="185"/>
        <v>#REF!</v>
      </c>
      <c r="AP87" s="18"/>
      <c r="AQ87" s="447" t="e">
        <f t="shared" si="186"/>
        <v>#REF!</v>
      </c>
      <c r="AR87" s="447" t="e">
        <f t="shared" si="187"/>
        <v>#REF!</v>
      </c>
      <c r="AS87" s="447" t="e">
        <f t="shared" si="188"/>
        <v>#REF!</v>
      </c>
      <c r="AT87" s="447" t="e">
        <f t="shared" ca="1" si="189"/>
        <v>#NAME?</v>
      </c>
      <c r="AU87" s="447" t="e">
        <f t="shared" si="190"/>
        <v>#REF!</v>
      </c>
      <c r="AV87" s="447" t="e">
        <f t="shared" si="191"/>
        <v>#REF!</v>
      </c>
      <c r="AW87" s="447" t="e">
        <f t="shared" si="192"/>
        <v>#REF!</v>
      </c>
      <c r="AX87" s="447" t="e">
        <f t="shared" si="193"/>
        <v>#REF!</v>
      </c>
      <c r="AY87" s="447" t="e">
        <f t="shared" si="194"/>
        <v>#REF!</v>
      </c>
      <c r="AZ87" s="445" t="e">
        <f t="shared" si="195"/>
        <v>#REF!</v>
      </c>
      <c r="BA87" s="447" t="e">
        <f t="shared" ca="1" si="196"/>
        <v>#NAME?</v>
      </c>
      <c r="BB87" s="447" t="e">
        <f t="shared" ca="1" si="197"/>
        <v>#NAME?</v>
      </c>
      <c r="BC87" s="447" t="e">
        <f t="shared" si="198"/>
        <v>#REF!</v>
      </c>
      <c r="BD87" s="447" t="e">
        <f t="shared" si="199"/>
        <v>#REF!</v>
      </c>
      <c r="BE87" s="447" t="e">
        <f t="shared" si="200"/>
        <v>#REF!</v>
      </c>
      <c r="BF87" s="447" t="e">
        <f t="shared" si="201"/>
        <v>#REF!</v>
      </c>
      <c r="BG87" s="18"/>
      <c r="BH87" s="2" t="e">
        <f t="shared" ca="1" si="202"/>
        <v>#REF!</v>
      </c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</row>
    <row r="88" spans="1:76" x14ac:dyDescent="0.2">
      <c r="A88" s="563" t="s">
        <v>252</v>
      </c>
      <c r="B88" s="591"/>
      <c r="C88" s="585"/>
      <c r="D88" s="51"/>
      <c r="E88" s="68"/>
      <c r="F88" s="68"/>
      <c r="G88" s="394"/>
      <c r="H88" s="265"/>
      <c r="I88" s="265"/>
      <c r="J88" s="265"/>
      <c r="K88" s="265"/>
      <c r="L88" s="265"/>
      <c r="M88" s="265"/>
      <c r="N88" s="265"/>
      <c r="O88" s="265"/>
      <c r="P88" s="265"/>
      <c r="Q88" s="265"/>
      <c r="R88" s="8"/>
      <c r="S88" s="68"/>
      <c r="T88" s="539"/>
      <c r="U88" s="539"/>
      <c r="V88" s="540"/>
      <c r="W88" s="540"/>
      <c r="X88" s="541"/>
      <c r="Y88" s="15"/>
      <c r="Z88" s="540"/>
      <c r="AA88" s="68"/>
      <c r="AB88" s="539"/>
      <c r="AC88" s="539"/>
      <c r="AD88" s="540"/>
      <c r="AE88" s="540"/>
      <c r="AF88" s="541"/>
      <c r="AG88" s="15"/>
      <c r="AH88" s="540"/>
      <c r="AI88" s="68"/>
      <c r="AJ88" s="539"/>
      <c r="AK88" s="539"/>
      <c r="AL88" s="540"/>
      <c r="AM88" s="540"/>
      <c r="AN88" s="541"/>
      <c r="AO88" s="15"/>
      <c r="AP88" s="540"/>
      <c r="AQ88" s="15"/>
      <c r="AR88" s="15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69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</row>
    <row r="89" spans="1:76" x14ac:dyDescent="0.2">
      <c r="A89" s="576" t="str">
        <f>'DDR2 Strobes - 2x16_1R SODIMM'!$A$42</f>
        <v>SA_DQS7</v>
      </c>
      <c r="B89" s="592" t="str">
        <f>'DDR2 Strobes - 2x16_1R SODIMM'!$B$42</f>
        <v>AA12</v>
      </c>
      <c r="C89" s="586"/>
      <c r="D89" s="44"/>
      <c r="E89" s="67"/>
      <c r="F89" s="67"/>
      <c r="G89" s="602"/>
      <c r="H89" s="603"/>
      <c r="I89" s="603"/>
      <c r="J89" s="603"/>
      <c r="K89" s="603"/>
      <c r="L89" s="603"/>
      <c r="M89" s="603"/>
      <c r="N89" s="603"/>
      <c r="O89" s="603"/>
      <c r="P89" s="603"/>
      <c r="Q89" s="603"/>
      <c r="R89" s="67"/>
      <c r="S89" s="67"/>
      <c r="T89" s="48"/>
      <c r="U89" s="48" t="e">
        <f>'DDR2 Strobes - 2x16_1R SODIMM'!$U$42</f>
        <v>#REF!</v>
      </c>
      <c r="V89" s="48"/>
      <c r="W89" s="48"/>
      <c r="X89" s="48"/>
      <c r="Y89" s="542"/>
      <c r="Z89" s="48"/>
      <c r="AA89" s="67"/>
      <c r="AB89" s="48"/>
      <c r="AC89" s="48" t="e">
        <f>'DDR2 Strobes - 2x16_1R SODIMM'!$AD$42</f>
        <v>#REF!</v>
      </c>
      <c r="AD89" s="48"/>
      <c r="AE89" s="48"/>
      <c r="AF89" s="48"/>
      <c r="AG89" s="542"/>
      <c r="AH89" s="48"/>
      <c r="AI89" s="67"/>
      <c r="AJ89" s="48"/>
      <c r="AK89" s="48" t="e">
        <f>'DDR2 Strobes - 2x16_1R SODIMM'!$AL$42</f>
        <v>#REF!</v>
      </c>
      <c r="AL89" s="48"/>
      <c r="AM89" s="48"/>
      <c r="AN89" s="48"/>
      <c r="AO89" s="542"/>
      <c r="AP89" s="48"/>
      <c r="AQ89" s="542"/>
      <c r="AR89" s="542"/>
      <c r="AS89" s="542"/>
      <c r="AT89" s="542"/>
      <c r="AU89" s="542"/>
      <c r="AV89" s="542"/>
      <c r="AW89" s="542"/>
      <c r="AX89" s="542"/>
      <c r="AY89" s="542"/>
      <c r="AZ89" s="542"/>
      <c r="BA89" s="542"/>
      <c r="BB89" s="542"/>
      <c r="BC89" s="542"/>
      <c r="BD89" s="542"/>
      <c r="BE89" s="542"/>
      <c r="BF89" s="542"/>
      <c r="BG89" s="48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</row>
    <row r="90" spans="1:76" x14ac:dyDescent="0.2">
      <c r="A90" s="576" t="str">
        <f>'DDR2 Strobes - 2x16_1R SODIMM'!$A$43</f>
        <v>SA_DQS7#</v>
      </c>
      <c r="B90" s="592" t="str">
        <f>'DDR2 Strobes - 2x16_1R SODIMM'!$B$43</f>
        <v>AB12</v>
      </c>
      <c r="C90" s="586"/>
      <c r="D90" s="44"/>
      <c r="E90" s="67"/>
      <c r="F90" s="67"/>
      <c r="G90" s="602"/>
      <c r="H90" s="603"/>
      <c r="I90" s="603"/>
      <c r="J90" s="603"/>
      <c r="K90" s="603"/>
      <c r="L90" s="603"/>
      <c r="M90" s="603"/>
      <c r="N90" s="603"/>
      <c r="O90" s="603"/>
      <c r="P90" s="603"/>
      <c r="Q90" s="603"/>
      <c r="R90" s="67"/>
      <c r="S90" s="67"/>
      <c r="T90" s="537"/>
      <c r="U90" s="48" t="e">
        <f>'DDR2 Strobes - 2x16_1R SODIMM'!$U$43</f>
        <v>#REF!</v>
      </c>
      <c r="V90" s="48"/>
      <c r="W90" s="48"/>
      <c r="X90" s="48"/>
      <c r="Y90" s="542"/>
      <c r="Z90" s="48"/>
      <c r="AA90" s="536"/>
      <c r="AB90" s="537"/>
      <c r="AC90" s="48" t="e">
        <f>'DDR2 Strobes - 2x16_1R SODIMM'!$AD$43</f>
        <v>#REF!</v>
      </c>
      <c r="AD90" s="48"/>
      <c r="AE90" s="48"/>
      <c r="AF90" s="48"/>
      <c r="AG90" s="542"/>
      <c r="AH90" s="48"/>
      <c r="AI90" s="536"/>
      <c r="AJ90" s="537"/>
      <c r="AK90" s="48" t="e">
        <f>'DDR2 Strobes - 2x16_1R SODIMM'!$AL$43</f>
        <v>#REF!</v>
      </c>
      <c r="AL90" s="48"/>
      <c r="AM90" s="48"/>
      <c r="AN90" s="48"/>
      <c r="AO90" s="542"/>
      <c r="AP90" s="48"/>
      <c r="AQ90" s="542"/>
      <c r="AR90" s="542"/>
      <c r="AS90" s="543"/>
      <c r="AT90" s="543"/>
      <c r="AU90" s="543"/>
      <c r="AV90" s="543"/>
      <c r="AW90" s="543"/>
      <c r="AX90" s="543"/>
      <c r="AY90" s="543"/>
      <c r="AZ90" s="543"/>
      <c r="BA90" s="543"/>
      <c r="BB90" s="543"/>
      <c r="BC90" s="543"/>
      <c r="BD90" s="543"/>
      <c r="BE90" s="543"/>
      <c r="BF90" s="543"/>
      <c r="BG90" s="48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</row>
    <row r="91" spans="1:76" x14ac:dyDescent="0.2">
      <c r="A91" s="560" t="s">
        <v>231</v>
      </c>
      <c r="B91" s="589" t="s">
        <v>539</v>
      </c>
      <c r="C91" s="584">
        <v>818.89763779527561</v>
      </c>
      <c r="D91" s="16"/>
      <c r="E91" s="17">
        <v>22.63</v>
      </c>
      <c r="F91" s="17">
        <v>0</v>
      </c>
      <c r="G91">
        <v>1786.25</v>
      </c>
      <c r="H91">
        <v>40</v>
      </c>
      <c r="I91">
        <v>766.14</v>
      </c>
      <c r="J91">
        <v>43.4</v>
      </c>
      <c r="K91" s="17">
        <v>40</v>
      </c>
      <c r="L91">
        <v>44.57</v>
      </c>
      <c r="M91">
        <v>1200.81</v>
      </c>
      <c r="N91" s="271">
        <v>0</v>
      </c>
      <c r="O91" s="271">
        <v>0</v>
      </c>
      <c r="P91">
        <v>96.8</v>
      </c>
      <c r="Q91">
        <v>96.77</v>
      </c>
      <c r="R91" s="58"/>
      <c r="S91" s="441">
        <f t="shared" ref="S91:S99" si="203" xml:space="preserve"> E91+F91+G91+H91</f>
        <v>1848.88</v>
      </c>
      <c r="T91" s="441" t="e">
        <f t="shared" ref="T91:T99" si="204">S91+IF($B$2="mil",1,0.0254)*C91</f>
        <v>#REF!</v>
      </c>
      <c r="U91" s="441" t="e">
        <f>MAX(U$89:U$90)+IF($B$2="mil",1,0.0254)*DDR2Specs!$B$3</f>
        <v>#REF!</v>
      </c>
      <c r="V91" s="441" t="e">
        <f>MIN(U$89:U$90)+IF($B$2="mil",1,0.0254)*DDR2Specs!$C$3</f>
        <v>#REF!</v>
      </c>
      <c r="W91" s="18"/>
      <c r="X91" s="534" t="e">
        <f t="shared" ref="X91:X99" si="205">IF($T91&lt;$U91,$U91-$T91,"Pass")</f>
        <v>#REF!</v>
      </c>
      <c r="Y91" s="447" t="e">
        <f t="shared" ref="Y91:Y99" si="206">IF($T91&gt;$V91,$T91-$V91,"Pass")</f>
        <v>#REF!</v>
      </c>
      <c r="Z91" s="18"/>
      <c r="AA91" s="441">
        <f t="shared" ref="AA91:AA99" si="207">SUM(E91:G91,I91:N91,P91)</f>
        <v>4000.6000000000004</v>
      </c>
      <c r="AB91" s="441" t="e">
        <f t="shared" ref="AB91:AB99" si="208">AA91+IF($B$2="mil",1,0.0254)*$C91</f>
        <v>#REF!</v>
      </c>
      <c r="AC91" s="441" t="e">
        <f>MAX(AC$89:AC$90)+IF($B$2="mil",1,0.0254)*DDR2Specs!$E$3</f>
        <v>#REF!</v>
      </c>
      <c r="AD91" s="441" t="e">
        <f>MIN(AC$89:AC$90)+IF($B$2="mil",1,0.0254)*DDR2Specs!$F$3</f>
        <v>#REF!</v>
      </c>
      <c r="AE91" s="18"/>
      <c r="AF91" s="534" t="e">
        <f t="shared" ref="AF91:AF99" si="209">IF($AB91&lt;$AC91,$AC91-$AB91,"Pass")</f>
        <v>#REF!</v>
      </c>
      <c r="AG91" s="447" t="e">
        <f t="shared" ref="AG91:AG99" si="210">IF($AB91&gt;$AD91,$AB91-$AD91,"Pass")</f>
        <v>#REF!</v>
      </c>
      <c r="AH91" s="18"/>
      <c r="AI91" s="441">
        <f t="shared" ref="AI91:AI99" si="211">SUM(E91:G91,I91:M91,O91,Q91)</f>
        <v>4000.57</v>
      </c>
      <c r="AJ91" s="441" t="e">
        <f t="shared" ref="AJ91:AJ99" si="212">AI91+IF($B$2="mil",1,0.0254)*$C91</f>
        <v>#REF!</v>
      </c>
      <c r="AK91" s="441" t="e">
        <f>MAX(AK$89:AK$90)+IF($B$2="mil",1,0.0254)*DDR2Specs!$E$3</f>
        <v>#REF!</v>
      </c>
      <c r="AL91" s="441" t="e">
        <f>MIN(AK$89:AK$90)+IF($B$2="mil",1,0.0254)*DDR2Specs!$F$3</f>
        <v>#REF!</v>
      </c>
      <c r="AM91" s="18"/>
      <c r="AN91" s="534" t="e">
        <f t="shared" ref="AN91:AN99" si="213">IF($AJ91&lt;$AK91,$AK91-$AJ91,"Pass")</f>
        <v>#REF!</v>
      </c>
      <c r="AO91" s="447" t="e">
        <f t="shared" ref="AO91:AO99" si="214">IF($AJ91&gt;$AL91,$AJ91-$AL91,"Pass")</f>
        <v>#REF!</v>
      </c>
      <c r="AP91" s="18"/>
      <c r="AQ91" s="447" t="e">
        <f t="shared" ref="AQ91:AQ99" si="215">IF($E91&lt;=IF($B$2="mil",1,0.0254)*50,"Pass",IF($B$2="mil",1,0.0254)*50-$E91)</f>
        <v>#REF!</v>
      </c>
      <c r="AR91" s="447" t="e">
        <f t="shared" ref="AR91:AR99" si="216">IF($F91&lt;=IF($B$2="mil",1,0.0254)*500,"Pass",IF($B$2="mil",1,0.0254)*500-$F91)</f>
        <v>#REF!</v>
      </c>
      <c r="AS91" s="447" t="e">
        <f t="shared" ref="AS91:AS99" si="217">IF($H91&lt;=IF($B$2="mil",1,0.0254)*250,"Pass",IF($B$2="mil",1,0.0254)*250-$H91)</f>
        <v>#REF!</v>
      </c>
      <c r="AT91" s="447" t="e">
        <f t="shared" ref="AT91:AT99" ca="1" si="218">CheckLength(IF($B$2="mil",1,0.0254)*750, IF($B$2="mil",1,0.0254)*125-J91, 0, I91,J91,0)</f>
        <v>#NAME?</v>
      </c>
      <c r="AU91" s="447" t="e">
        <f t="shared" ref="AU91:AU99" si="219">IF($J91&lt;=IF($B$2="mil",1,0.0254)*125,"Pass",IF($B$2="mil",1,0.0254)*125-$J91)</f>
        <v>#REF!</v>
      </c>
      <c r="AV91" s="447" t="e">
        <f t="shared" ref="AV91:AV99" si="220">IF($L91&lt;=IF($B$2="mil",1,0.0254)*125,"Pass",IF($B$2="mil",1,0.0254)*125-$L91)</f>
        <v>#REF!</v>
      </c>
      <c r="AW91" s="447" t="e">
        <f t="shared" ref="AW91:AW99" si="221">IF(($L91+$M91)&lt;=IF($B$2="mil",1,0.0254)*1275,"Pass",IF($B$2="mil",1,0.0254)*1275-($L91+H91))</f>
        <v>#REF!</v>
      </c>
      <c r="AX91" s="447" t="e">
        <f t="shared" ref="AX91:AX99" si="222">IF($N91&lt;=IF($B$2="mil",1,0.0254)*150,"Pass",IF($B$2="mil",1,0.0254)*150-$N91)</f>
        <v>#REF!</v>
      </c>
      <c r="AY91" s="447" t="e">
        <f t="shared" ref="AY91:AY99" si="223">IF($O91&lt;=IF($B$2="mil",1,0.0254)*150,"Pass",IF($B$2="mil",1,0.0254)*150-$O91)</f>
        <v>#REF!</v>
      </c>
      <c r="AZ91" s="445" t="e">
        <f t="shared" ref="AZ91:AZ99" si="224">IF(MAX(N91:O91)-MIN(N91:O91)&lt;=IF($B$2="mil",1,0.0254)*50,"Pass",MAX(N91:O91)-MIN(N91:O91)-IF($B$2="mil",1,0.0254)*50)</f>
        <v>#REF!</v>
      </c>
      <c r="BA91" s="447" t="e">
        <f t="shared" ref="BA91:BA99" ca="1" si="225">CheckLength2(IF($B$2="mil",1,0.0254)*200,$P91,N91,0)</f>
        <v>#NAME?</v>
      </c>
      <c r="BB91" s="447" t="e">
        <f t="shared" ref="BB91:BB99" ca="1" si="226">CheckLength2(IF($B$2="mil",1,0.0254)*200,$Q91,O91,0)</f>
        <v>#NAME?</v>
      </c>
      <c r="BC91" s="447" t="e">
        <f t="shared" ref="BC91:BC99" si="227">IF(AND($S91&gt;=IF($B$2="mil",1,0.0254)*500, $S91&lt;=IF($B$2="mil",1,0.0254)*4000),"Pass",IF($B$2="mil",1,0.0254)*4000-$S91)</f>
        <v>#REF!</v>
      </c>
      <c r="BD91" s="447" t="e">
        <f t="shared" ref="BD91:BD99" si="228">IF(AND($T91&gt;=IF($B$2="mil",1,0.0254)*500, $T91&lt;=IF($B$2="mil",1,0.0254)*4500),"Pass",IF($B$2="mil",1,0.0254)*4500-$T91)</f>
        <v>#REF!</v>
      </c>
      <c r="BE91" s="447" t="e">
        <f t="shared" ref="BE91:BE99" si="229">IF(AND($AA91&gt;=IF($B$2="mil",1,0.0254)*500, $AA91&lt;=IF($B$2="mil",1,0.0254)*5500),"Pass",IF($B$2="mil",1,0.0254)*5500-$AA91)</f>
        <v>#REF!</v>
      </c>
      <c r="BF91" s="447" t="e">
        <f t="shared" ref="BF91:BF99" si="230">IF(AND($AB91&gt;=IF($B$2="mil",1,0.0254)*500, $AB91&lt;=IF($B$2="mil",1,0.0254)*6000),"Pass",IF($B$2="mil",1,0.0254)*6000-$AB91)</f>
        <v>#REF!</v>
      </c>
      <c r="BG91" s="18"/>
      <c r="BH91" s="2" t="e">
        <f t="shared" ref="BH91:BH99" ca="1" si="231">IF(AND(AN91="Pass",AO91="Pass",AQ91="Pass",BD91="Pass",AS91="Pass",AR91="Pass",BC91="Pass",X91="Pass",Y91="Pass",BB91="Pass",AW91="Pass",AX91="Pass",AY91="Pass",AZ91="Pass",BA91="Pass",AV91="Pass",AU91="Pass",AT91="Pass",AF91="Pass",AG91="Pass",BE91="Pass",BF91="Pass"),"Pass","Fail")</f>
        <v>#REF!</v>
      </c>
      <c r="BI91" s="2" t="e">
        <f ca="1">IF(AND(BH91="Pass",BH92="Pass",BH93="Pass",BH94="Pass",BH95="Pass",BH96="Pass",BH97="Pass",BH98="Pass",BH99="Pass"),"Pass","Fail")</f>
        <v>#REF!</v>
      </c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</row>
    <row r="92" spans="1:76" x14ac:dyDescent="0.2">
      <c r="A92" s="560" t="s">
        <v>232</v>
      </c>
      <c r="B92" s="589" t="s">
        <v>165</v>
      </c>
      <c r="C92" s="584">
        <v>680.03937007874015</v>
      </c>
      <c r="D92" s="16"/>
      <c r="E92" s="17">
        <v>22.63</v>
      </c>
      <c r="F92" s="17">
        <v>0</v>
      </c>
      <c r="G92">
        <v>1950.74</v>
      </c>
      <c r="H92">
        <v>20</v>
      </c>
      <c r="I92">
        <v>730.82</v>
      </c>
      <c r="J92">
        <v>44.57</v>
      </c>
      <c r="K92" s="17">
        <v>40</v>
      </c>
      <c r="L92">
        <v>42.23</v>
      </c>
      <c r="M92">
        <v>1211.22</v>
      </c>
      <c r="N92" s="271">
        <v>0</v>
      </c>
      <c r="O92" s="271">
        <v>0</v>
      </c>
      <c r="P92">
        <v>97.27</v>
      </c>
      <c r="Q92">
        <v>97.3</v>
      </c>
      <c r="R92" s="58"/>
      <c r="S92" s="441">
        <f t="shared" si="203"/>
        <v>1993.3700000000001</v>
      </c>
      <c r="T92" s="441" t="e">
        <f t="shared" si="204"/>
        <v>#REF!</v>
      </c>
      <c r="U92" s="441" t="e">
        <f>MAX(U$89:U$90)+IF($B$2="mil",1,0.0254)*DDR2Specs!$B$3</f>
        <v>#REF!</v>
      </c>
      <c r="V92" s="441" t="e">
        <f>MIN(U$89:U$90)+IF($B$2="mil",1,0.0254)*DDR2Specs!$C$3</f>
        <v>#REF!</v>
      </c>
      <c r="W92" s="18"/>
      <c r="X92" s="534" t="e">
        <f t="shared" si="205"/>
        <v>#REF!</v>
      </c>
      <c r="Y92" s="447" t="e">
        <f t="shared" si="206"/>
        <v>#REF!</v>
      </c>
      <c r="Z92" s="18"/>
      <c r="AA92" s="441">
        <f t="shared" si="207"/>
        <v>4139.4800000000005</v>
      </c>
      <c r="AB92" s="441" t="e">
        <f t="shared" si="208"/>
        <v>#REF!</v>
      </c>
      <c r="AC92" s="441" t="e">
        <f>MAX(AC$89:AC$90)+IF($B$2="mil",1,0.0254)*DDR2Specs!$E$3</f>
        <v>#REF!</v>
      </c>
      <c r="AD92" s="441" t="e">
        <f>MIN(AC$89:AC$90)+IF($B$2="mil",1,0.0254)*DDR2Specs!$F$3</f>
        <v>#REF!</v>
      </c>
      <c r="AE92" s="18"/>
      <c r="AF92" s="534" t="e">
        <f t="shared" si="209"/>
        <v>#REF!</v>
      </c>
      <c r="AG92" s="447" t="e">
        <f t="shared" si="210"/>
        <v>#REF!</v>
      </c>
      <c r="AH92" s="18"/>
      <c r="AI92" s="441">
        <f t="shared" si="211"/>
        <v>4139.51</v>
      </c>
      <c r="AJ92" s="441" t="e">
        <f t="shared" si="212"/>
        <v>#REF!</v>
      </c>
      <c r="AK92" s="441" t="e">
        <f>MAX(AK$89:AK$90)+IF($B$2="mil",1,0.0254)*DDR2Specs!$E$3</f>
        <v>#REF!</v>
      </c>
      <c r="AL92" s="441" t="e">
        <f>MIN(AK$89:AK$90)+IF($B$2="mil",1,0.0254)*DDR2Specs!$F$3</f>
        <v>#REF!</v>
      </c>
      <c r="AM92" s="18"/>
      <c r="AN92" s="534" t="e">
        <f t="shared" si="213"/>
        <v>#REF!</v>
      </c>
      <c r="AO92" s="447" t="e">
        <f t="shared" si="214"/>
        <v>#REF!</v>
      </c>
      <c r="AP92" s="18"/>
      <c r="AQ92" s="447" t="e">
        <f t="shared" si="215"/>
        <v>#REF!</v>
      </c>
      <c r="AR92" s="447" t="e">
        <f t="shared" si="216"/>
        <v>#REF!</v>
      </c>
      <c r="AS92" s="447" t="e">
        <f t="shared" si="217"/>
        <v>#REF!</v>
      </c>
      <c r="AT92" s="447" t="e">
        <f t="shared" ca="1" si="218"/>
        <v>#NAME?</v>
      </c>
      <c r="AU92" s="447" t="e">
        <f t="shared" si="219"/>
        <v>#REF!</v>
      </c>
      <c r="AV92" s="447" t="e">
        <f t="shared" si="220"/>
        <v>#REF!</v>
      </c>
      <c r="AW92" s="447" t="e">
        <f t="shared" si="221"/>
        <v>#REF!</v>
      </c>
      <c r="AX92" s="447" t="e">
        <f t="shared" si="222"/>
        <v>#REF!</v>
      </c>
      <c r="AY92" s="447" t="e">
        <f t="shared" si="223"/>
        <v>#REF!</v>
      </c>
      <c r="AZ92" s="445" t="e">
        <f t="shared" si="224"/>
        <v>#REF!</v>
      </c>
      <c r="BA92" s="447" t="e">
        <f t="shared" ca="1" si="225"/>
        <v>#NAME?</v>
      </c>
      <c r="BB92" s="447" t="e">
        <f t="shared" ca="1" si="226"/>
        <v>#NAME?</v>
      </c>
      <c r="BC92" s="447" t="e">
        <f t="shared" si="227"/>
        <v>#REF!</v>
      </c>
      <c r="BD92" s="447" t="e">
        <f t="shared" si="228"/>
        <v>#REF!</v>
      </c>
      <c r="BE92" s="447" t="e">
        <f t="shared" si="229"/>
        <v>#REF!</v>
      </c>
      <c r="BF92" s="447" t="e">
        <f t="shared" si="230"/>
        <v>#REF!</v>
      </c>
      <c r="BG92" s="18"/>
      <c r="BH92" s="2" t="e">
        <f t="shared" ca="1" si="231"/>
        <v>#REF!</v>
      </c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</row>
    <row r="93" spans="1:76" x14ac:dyDescent="0.2">
      <c r="A93" s="560" t="s">
        <v>233</v>
      </c>
      <c r="B93" s="589" t="s">
        <v>540</v>
      </c>
      <c r="C93" s="584">
        <v>657.40157480314963</v>
      </c>
      <c r="D93" s="16"/>
      <c r="E93" s="17">
        <v>22.63</v>
      </c>
      <c r="F93" s="17">
        <v>0</v>
      </c>
      <c r="G93">
        <v>1955.96</v>
      </c>
      <c r="H93">
        <v>30</v>
      </c>
      <c r="I93">
        <v>810.43</v>
      </c>
      <c r="J93">
        <v>44.57</v>
      </c>
      <c r="K93" s="17">
        <v>40</v>
      </c>
      <c r="L93">
        <v>85.78</v>
      </c>
      <c r="M93">
        <v>1180.19</v>
      </c>
      <c r="N93" s="271">
        <v>0</v>
      </c>
      <c r="O93" s="271">
        <v>0</v>
      </c>
      <c r="P93">
        <v>24.24</v>
      </c>
      <c r="Q93">
        <v>24.27</v>
      </c>
      <c r="R93" s="58"/>
      <c r="S93" s="441">
        <f t="shared" si="203"/>
        <v>2008.5900000000001</v>
      </c>
      <c r="T93" s="441" t="e">
        <f t="shared" si="204"/>
        <v>#REF!</v>
      </c>
      <c r="U93" s="441" t="e">
        <f>MAX(U$89:U$90)+IF($B$2="mil",1,0.0254)*DDR2Specs!$B$3</f>
        <v>#REF!</v>
      </c>
      <c r="V93" s="441" t="e">
        <f>MIN(U$89:U$90)+IF($B$2="mil",1,0.0254)*DDR2Specs!$C$3</f>
        <v>#REF!</v>
      </c>
      <c r="W93" s="18"/>
      <c r="X93" s="534" t="e">
        <f t="shared" si="205"/>
        <v>#REF!</v>
      </c>
      <c r="Y93" s="447" t="e">
        <f t="shared" si="206"/>
        <v>#REF!</v>
      </c>
      <c r="Z93" s="18"/>
      <c r="AA93" s="441">
        <f t="shared" si="207"/>
        <v>4163.8</v>
      </c>
      <c r="AB93" s="441" t="e">
        <f t="shared" si="208"/>
        <v>#REF!</v>
      </c>
      <c r="AC93" s="441" t="e">
        <f>MAX(AC$89:AC$90)+IF($B$2="mil",1,0.0254)*DDR2Specs!$E$3</f>
        <v>#REF!</v>
      </c>
      <c r="AD93" s="441" t="e">
        <f>MIN(AC$89:AC$90)+IF($B$2="mil",1,0.0254)*DDR2Specs!$F$3</f>
        <v>#REF!</v>
      </c>
      <c r="AE93" s="18"/>
      <c r="AF93" s="534" t="e">
        <f t="shared" si="209"/>
        <v>#REF!</v>
      </c>
      <c r="AG93" s="447" t="e">
        <f t="shared" si="210"/>
        <v>#REF!</v>
      </c>
      <c r="AH93" s="18"/>
      <c r="AI93" s="441">
        <f t="shared" si="211"/>
        <v>4163.8300000000008</v>
      </c>
      <c r="AJ93" s="441" t="e">
        <f t="shared" si="212"/>
        <v>#REF!</v>
      </c>
      <c r="AK93" s="441" t="e">
        <f>MAX(AK$89:AK$90)+IF($B$2="mil",1,0.0254)*DDR2Specs!$E$3</f>
        <v>#REF!</v>
      </c>
      <c r="AL93" s="441" t="e">
        <f>MIN(AK$89:AK$90)+IF($B$2="mil",1,0.0254)*DDR2Specs!$F$3</f>
        <v>#REF!</v>
      </c>
      <c r="AM93" s="18"/>
      <c r="AN93" s="534" t="e">
        <f t="shared" si="213"/>
        <v>#REF!</v>
      </c>
      <c r="AO93" s="447" t="e">
        <f t="shared" si="214"/>
        <v>#REF!</v>
      </c>
      <c r="AP93" s="18"/>
      <c r="AQ93" s="447" t="e">
        <f t="shared" si="215"/>
        <v>#REF!</v>
      </c>
      <c r="AR93" s="447" t="e">
        <f t="shared" si="216"/>
        <v>#REF!</v>
      </c>
      <c r="AS93" s="447" t="e">
        <f t="shared" si="217"/>
        <v>#REF!</v>
      </c>
      <c r="AT93" s="447" t="e">
        <f t="shared" ca="1" si="218"/>
        <v>#NAME?</v>
      </c>
      <c r="AU93" s="447" t="e">
        <f t="shared" si="219"/>
        <v>#REF!</v>
      </c>
      <c r="AV93" s="447" t="e">
        <f t="shared" si="220"/>
        <v>#REF!</v>
      </c>
      <c r="AW93" s="447" t="e">
        <f t="shared" si="221"/>
        <v>#REF!</v>
      </c>
      <c r="AX93" s="447" t="e">
        <f t="shared" si="222"/>
        <v>#REF!</v>
      </c>
      <c r="AY93" s="447" t="e">
        <f t="shared" si="223"/>
        <v>#REF!</v>
      </c>
      <c r="AZ93" s="445" t="e">
        <f t="shared" si="224"/>
        <v>#REF!</v>
      </c>
      <c r="BA93" s="447" t="e">
        <f t="shared" ca="1" si="225"/>
        <v>#NAME?</v>
      </c>
      <c r="BB93" s="447" t="e">
        <f t="shared" ca="1" si="226"/>
        <v>#NAME?</v>
      </c>
      <c r="BC93" s="447" t="e">
        <f t="shared" si="227"/>
        <v>#REF!</v>
      </c>
      <c r="BD93" s="447" t="e">
        <f t="shared" si="228"/>
        <v>#REF!</v>
      </c>
      <c r="BE93" s="447" t="e">
        <f t="shared" si="229"/>
        <v>#REF!</v>
      </c>
      <c r="BF93" s="447" t="e">
        <f t="shared" si="230"/>
        <v>#REF!</v>
      </c>
      <c r="BG93" s="18"/>
      <c r="BH93" s="2" t="e">
        <f t="shared" ca="1" si="231"/>
        <v>#REF!</v>
      </c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</row>
    <row r="94" spans="1:76" x14ac:dyDescent="0.2">
      <c r="A94" s="560" t="s">
        <v>234</v>
      </c>
      <c r="B94" s="589" t="s">
        <v>65</v>
      </c>
      <c r="C94" s="584">
        <v>678.70078740157487</v>
      </c>
      <c r="D94" s="16"/>
      <c r="E94" s="17">
        <v>22.63</v>
      </c>
      <c r="F94" s="17">
        <v>0</v>
      </c>
      <c r="G94">
        <v>1925.63</v>
      </c>
      <c r="H94">
        <v>45</v>
      </c>
      <c r="I94">
        <v>781.03</v>
      </c>
      <c r="J94">
        <v>85.78</v>
      </c>
      <c r="K94" s="17">
        <v>40</v>
      </c>
      <c r="L94">
        <v>44.57</v>
      </c>
      <c r="M94">
        <v>1217.74</v>
      </c>
      <c r="N94" s="271">
        <v>0</v>
      </c>
      <c r="O94" s="271">
        <v>0</v>
      </c>
      <c r="P94">
        <v>24.77</v>
      </c>
      <c r="Q94">
        <v>24.74</v>
      </c>
      <c r="R94" s="58"/>
      <c r="S94" s="441">
        <f t="shared" si="203"/>
        <v>1993.2600000000002</v>
      </c>
      <c r="T94" s="441" t="e">
        <f t="shared" si="204"/>
        <v>#REF!</v>
      </c>
      <c r="U94" s="441" t="e">
        <f>MAX(U$89:U$90)+IF($B$2="mil",1,0.0254)*DDR2Specs!$B$3</f>
        <v>#REF!</v>
      </c>
      <c r="V94" s="441" t="e">
        <f>MIN(U$89:U$90)+IF($B$2="mil",1,0.0254)*DDR2Specs!$C$3</f>
        <v>#REF!</v>
      </c>
      <c r="W94" s="18"/>
      <c r="X94" s="534" t="e">
        <f t="shared" si="205"/>
        <v>#REF!</v>
      </c>
      <c r="Y94" s="447" t="e">
        <f t="shared" si="206"/>
        <v>#REF!</v>
      </c>
      <c r="Z94" s="18"/>
      <c r="AA94" s="441">
        <f t="shared" si="207"/>
        <v>4142.1500000000005</v>
      </c>
      <c r="AB94" s="441" t="e">
        <f t="shared" si="208"/>
        <v>#REF!</v>
      </c>
      <c r="AC94" s="441" t="e">
        <f>MAX(AC$89:AC$90)+IF($B$2="mil",1,0.0254)*DDR2Specs!$E$3</f>
        <v>#REF!</v>
      </c>
      <c r="AD94" s="441" t="e">
        <f>MIN(AC$89:AC$90)+IF($B$2="mil",1,0.0254)*DDR2Specs!$F$3</f>
        <v>#REF!</v>
      </c>
      <c r="AE94" s="18"/>
      <c r="AF94" s="534" t="e">
        <f t="shared" si="209"/>
        <v>#REF!</v>
      </c>
      <c r="AG94" s="447" t="e">
        <f t="shared" si="210"/>
        <v>#REF!</v>
      </c>
      <c r="AH94" s="18"/>
      <c r="AI94" s="441">
        <f t="shared" si="211"/>
        <v>4142.12</v>
      </c>
      <c r="AJ94" s="441" t="e">
        <f t="shared" si="212"/>
        <v>#REF!</v>
      </c>
      <c r="AK94" s="441" t="e">
        <f>MAX(AK$89:AK$90)+IF($B$2="mil",1,0.0254)*DDR2Specs!$E$3</f>
        <v>#REF!</v>
      </c>
      <c r="AL94" s="441" t="e">
        <f>MIN(AK$89:AK$90)+IF($B$2="mil",1,0.0254)*DDR2Specs!$F$3</f>
        <v>#REF!</v>
      </c>
      <c r="AM94" s="18"/>
      <c r="AN94" s="534" t="e">
        <f t="shared" si="213"/>
        <v>#REF!</v>
      </c>
      <c r="AO94" s="447" t="e">
        <f t="shared" si="214"/>
        <v>#REF!</v>
      </c>
      <c r="AP94" s="18"/>
      <c r="AQ94" s="447" t="e">
        <f t="shared" si="215"/>
        <v>#REF!</v>
      </c>
      <c r="AR94" s="447" t="e">
        <f t="shared" si="216"/>
        <v>#REF!</v>
      </c>
      <c r="AS94" s="447" t="e">
        <f t="shared" si="217"/>
        <v>#REF!</v>
      </c>
      <c r="AT94" s="447" t="e">
        <f t="shared" ca="1" si="218"/>
        <v>#NAME?</v>
      </c>
      <c r="AU94" s="447" t="e">
        <f t="shared" si="219"/>
        <v>#REF!</v>
      </c>
      <c r="AV94" s="447" t="e">
        <f t="shared" si="220"/>
        <v>#REF!</v>
      </c>
      <c r="AW94" s="447" t="e">
        <f t="shared" si="221"/>
        <v>#REF!</v>
      </c>
      <c r="AX94" s="447" t="e">
        <f t="shared" si="222"/>
        <v>#REF!</v>
      </c>
      <c r="AY94" s="447" t="e">
        <f t="shared" si="223"/>
        <v>#REF!</v>
      </c>
      <c r="AZ94" s="445" t="e">
        <f t="shared" si="224"/>
        <v>#REF!</v>
      </c>
      <c r="BA94" s="447" t="e">
        <f t="shared" ca="1" si="225"/>
        <v>#NAME?</v>
      </c>
      <c r="BB94" s="447" t="e">
        <f t="shared" ca="1" si="226"/>
        <v>#NAME?</v>
      </c>
      <c r="BC94" s="447" t="e">
        <f t="shared" si="227"/>
        <v>#REF!</v>
      </c>
      <c r="BD94" s="447" t="e">
        <f t="shared" si="228"/>
        <v>#REF!</v>
      </c>
      <c r="BE94" s="447" t="e">
        <f t="shared" si="229"/>
        <v>#REF!</v>
      </c>
      <c r="BF94" s="447" t="e">
        <f t="shared" si="230"/>
        <v>#REF!</v>
      </c>
      <c r="BG94" s="18"/>
      <c r="BH94" s="2" t="e">
        <f t="shared" ca="1" si="231"/>
        <v>#REF!</v>
      </c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</row>
    <row r="95" spans="1:76" x14ac:dyDescent="0.2">
      <c r="A95" s="560" t="s">
        <v>235</v>
      </c>
      <c r="B95" s="589" t="s">
        <v>541</v>
      </c>
      <c r="C95" s="584">
        <v>732.83464566929138</v>
      </c>
      <c r="D95" s="16"/>
      <c r="E95" s="17">
        <v>22.63</v>
      </c>
      <c r="F95" s="17">
        <v>0</v>
      </c>
      <c r="G95">
        <v>1870.63</v>
      </c>
      <c r="H95">
        <v>45</v>
      </c>
      <c r="I95">
        <v>800.24</v>
      </c>
      <c r="J95">
        <v>44.57</v>
      </c>
      <c r="K95" s="17">
        <v>40</v>
      </c>
      <c r="L95">
        <v>44.57</v>
      </c>
      <c r="M95">
        <v>1200.5</v>
      </c>
      <c r="N95" s="271">
        <v>0</v>
      </c>
      <c r="O95" s="271">
        <v>0</v>
      </c>
      <c r="P95">
        <v>64.319999999999993</v>
      </c>
      <c r="Q95">
        <v>64.349999999999994</v>
      </c>
      <c r="R95" s="58"/>
      <c r="S95" s="441">
        <f t="shared" si="203"/>
        <v>1938.2600000000002</v>
      </c>
      <c r="T95" s="441" t="e">
        <f t="shared" si="204"/>
        <v>#REF!</v>
      </c>
      <c r="U95" s="441" t="e">
        <f>MAX(U$89:U$90)+IF($B$2="mil",1,0.0254)*DDR2Specs!$B$3</f>
        <v>#REF!</v>
      </c>
      <c r="V95" s="441" t="e">
        <f>MIN(U$89:U$90)+IF($B$2="mil",1,0.0254)*DDR2Specs!$C$3</f>
        <v>#REF!</v>
      </c>
      <c r="W95" s="18"/>
      <c r="X95" s="534" t="e">
        <f t="shared" si="205"/>
        <v>#REF!</v>
      </c>
      <c r="Y95" s="447" t="e">
        <f t="shared" si="206"/>
        <v>#REF!</v>
      </c>
      <c r="Z95" s="18"/>
      <c r="AA95" s="441">
        <f t="shared" si="207"/>
        <v>4087.4600000000005</v>
      </c>
      <c r="AB95" s="441" t="e">
        <f t="shared" si="208"/>
        <v>#REF!</v>
      </c>
      <c r="AC95" s="441" t="e">
        <f>MAX(AC$89:AC$90)+IF($B$2="mil",1,0.0254)*DDR2Specs!$E$3</f>
        <v>#REF!</v>
      </c>
      <c r="AD95" s="441" t="e">
        <f>MIN(AC$89:AC$90)+IF($B$2="mil",1,0.0254)*DDR2Specs!$F$3</f>
        <v>#REF!</v>
      </c>
      <c r="AE95" s="18"/>
      <c r="AF95" s="534" t="e">
        <f t="shared" si="209"/>
        <v>#REF!</v>
      </c>
      <c r="AG95" s="447" t="e">
        <f t="shared" si="210"/>
        <v>#REF!</v>
      </c>
      <c r="AH95" s="18"/>
      <c r="AI95" s="441">
        <f t="shared" si="211"/>
        <v>4087.4900000000002</v>
      </c>
      <c r="AJ95" s="441" t="e">
        <f t="shared" si="212"/>
        <v>#REF!</v>
      </c>
      <c r="AK95" s="441" t="e">
        <f>MAX(AK$89:AK$90)+IF($B$2="mil",1,0.0254)*DDR2Specs!$E$3</f>
        <v>#REF!</v>
      </c>
      <c r="AL95" s="441" t="e">
        <f>MIN(AK$89:AK$90)+IF($B$2="mil",1,0.0254)*DDR2Specs!$F$3</f>
        <v>#REF!</v>
      </c>
      <c r="AM95" s="18"/>
      <c r="AN95" s="534" t="e">
        <f t="shared" si="213"/>
        <v>#REF!</v>
      </c>
      <c r="AO95" s="447" t="e">
        <f t="shared" si="214"/>
        <v>#REF!</v>
      </c>
      <c r="AP95" s="18"/>
      <c r="AQ95" s="447" t="e">
        <f t="shared" si="215"/>
        <v>#REF!</v>
      </c>
      <c r="AR95" s="447" t="e">
        <f t="shared" si="216"/>
        <v>#REF!</v>
      </c>
      <c r="AS95" s="447" t="e">
        <f t="shared" si="217"/>
        <v>#REF!</v>
      </c>
      <c r="AT95" s="447" t="e">
        <f t="shared" ca="1" si="218"/>
        <v>#NAME?</v>
      </c>
      <c r="AU95" s="447" t="e">
        <f t="shared" si="219"/>
        <v>#REF!</v>
      </c>
      <c r="AV95" s="447" t="e">
        <f t="shared" si="220"/>
        <v>#REF!</v>
      </c>
      <c r="AW95" s="447" t="e">
        <f t="shared" si="221"/>
        <v>#REF!</v>
      </c>
      <c r="AX95" s="447" t="e">
        <f t="shared" si="222"/>
        <v>#REF!</v>
      </c>
      <c r="AY95" s="447" t="e">
        <f t="shared" si="223"/>
        <v>#REF!</v>
      </c>
      <c r="AZ95" s="445" t="e">
        <f t="shared" si="224"/>
        <v>#REF!</v>
      </c>
      <c r="BA95" s="447" t="e">
        <f t="shared" ca="1" si="225"/>
        <v>#NAME?</v>
      </c>
      <c r="BB95" s="447" t="e">
        <f t="shared" ca="1" si="226"/>
        <v>#NAME?</v>
      </c>
      <c r="BC95" s="447" t="e">
        <f t="shared" si="227"/>
        <v>#REF!</v>
      </c>
      <c r="BD95" s="447" t="e">
        <f t="shared" si="228"/>
        <v>#REF!</v>
      </c>
      <c r="BE95" s="447" t="e">
        <f t="shared" si="229"/>
        <v>#REF!</v>
      </c>
      <c r="BF95" s="447" t="e">
        <f t="shared" si="230"/>
        <v>#REF!</v>
      </c>
      <c r="BG95" s="18"/>
      <c r="BH95" s="2" t="e">
        <f t="shared" ca="1" si="231"/>
        <v>#REF!</v>
      </c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</row>
    <row r="96" spans="1:76" x14ac:dyDescent="0.2">
      <c r="A96" s="560" t="s">
        <v>236</v>
      </c>
      <c r="B96" s="589" t="s">
        <v>542</v>
      </c>
      <c r="C96" s="584">
        <v>573.50393700787401</v>
      </c>
      <c r="D96" s="16"/>
      <c r="E96" s="17">
        <v>22.63</v>
      </c>
      <c r="F96" s="17">
        <v>0</v>
      </c>
      <c r="G96">
        <v>2021.34</v>
      </c>
      <c r="H96">
        <v>50</v>
      </c>
      <c r="I96">
        <v>775.69</v>
      </c>
      <c r="J96">
        <v>85.78</v>
      </c>
      <c r="K96" s="17">
        <v>40</v>
      </c>
      <c r="L96">
        <v>85.78</v>
      </c>
      <c r="M96">
        <v>1151.04</v>
      </c>
      <c r="N96" s="271">
        <v>0</v>
      </c>
      <c r="O96" s="271">
        <v>0</v>
      </c>
      <c r="P96">
        <v>63.44</v>
      </c>
      <c r="Q96">
        <v>63.41</v>
      </c>
      <c r="R96" s="58"/>
      <c r="S96" s="441">
        <f t="shared" si="203"/>
        <v>2093.9700000000003</v>
      </c>
      <c r="T96" s="441" t="e">
        <f t="shared" si="204"/>
        <v>#REF!</v>
      </c>
      <c r="U96" s="441" t="e">
        <f>MAX(U$89:U$90)+IF($B$2="mil",1,0.0254)*DDR2Specs!$B$3</f>
        <v>#REF!</v>
      </c>
      <c r="V96" s="441" t="e">
        <f>MIN(U$89:U$90)+IF($B$2="mil",1,0.0254)*DDR2Specs!$C$3</f>
        <v>#REF!</v>
      </c>
      <c r="W96" s="18"/>
      <c r="X96" s="534" t="e">
        <f t="shared" si="205"/>
        <v>#REF!</v>
      </c>
      <c r="Y96" s="447" t="e">
        <f t="shared" si="206"/>
        <v>#REF!</v>
      </c>
      <c r="Z96" s="18"/>
      <c r="AA96" s="441">
        <f t="shared" si="207"/>
        <v>4245.7</v>
      </c>
      <c r="AB96" s="441" t="e">
        <f t="shared" si="208"/>
        <v>#REF!</v>
      </c>
      <c r="AC96" s="441" t="e">
        <f>MAX(AC$89:AC$90)+IF($B$2="mil",1,0.0254)*DDR2Specs!$E$3</f>
        <v>#REF!</v>
      </c>
      <c r="AD96" s="441" t="e">
        <f>MIN(AC$89:AC$90)+IF($B$2="mil",1,0.0254)*DDR2Specs!$F$3</f>
        <v>#REF!</v>
      </c>
      <c r="AE96" s="18"/>
      <c r="AF96" s="534" t="e">
        <f t="shared" si="209"/>
        <v>#REF!</v>
      </c>
      <c r="AG96" s="447" t="e">
        <f t="shared" si="210"/>
        <v>#REF!</v>
      </c>
      <c r="AH96" s="18"/>
      <c r="AI96" s="441">
        <f t="shared" si="211"/>
        <v>4245.67</v>
      </c>
      <c r="AJ96" s="441" t="e">
        <f t="shared" si="212"/>
        <v>#REF!</v>
      </c>
      <c r="AK96" s="441" t="e">
        <f>MAX(AK$89:AK$90)+IF($B$2="mil",1,0.0254)*DDR2Specs!$E$3</f>
        <v>#REF!</v>
      </c>
      <c r="AL96" s="441" t="e">
        <f>MIN(AK$89:AK$90)+IF($B$2="mil",1,0.0254)*DDR2Specs!$F$3</f>
        <v>#REF!</v>
      </c>
      <c r="AM96" s="18"/>
      <c r="AN96" s="534" t="e">
        <f t="shared" si="213"/>
        <v>#REF!</v>
      </c>
      <c r="AO96" s="447" t="e">
        <f t="shared" si="214"/>
        <v>#REF!</v>
      </c>
      <c r="AP96" s="18"/>
      <c r="AQ96" s="447" t="e">
        <f t="shared" si="215"/>
        <v>#REF!</v>
      </c>
      <c r="AR96" s="447" t="e">
        <f t="shared" si="216"/>
        <v>#REF!</v>
      </c>
      <c r="AS96" s="447" t="e">
        <f t="shared" si="217"/>
        <v>#REF!</v>
      </c>
      <c r="AT96" s="447" t="e">
        <f t="shared" ca="1" si="218"/>
        <v>#NAME?</v>
      </c>
      <c r="AU96" s="447" t="e">
        <f t="shared" si="219"/>
        <v>#REF!</v>
      </c>
      <c r="AV96" s="447" t="e">
        <f t="shared" si="220"/>
        <v>#REF!</v>
      </c>
      <c r="AW96" s="447" t="e">
        <f t="shared" si="221"/>
        <v>#REF!</v>
      </c>
      <c r="AX96" s="447" t="e">
        <f t="shared" si="222"/>
        <v>#REF!</v>
      </c>
      <c r="AY96" s="447" t="e">
        <f t="shared" si="223"/>
        <v>#REF!</v>
      </c>
      <c r="AZ96" s="445" t="e">
        <f t="shared" si="224"/>
        <v>#REF!</v>
      </c>
      <c r="BA96" s="447" t="e">
        <f t="shared" ca="1" si="225"/>
        <v>#NAME?</v>
      </c>
      <c r="BB96" s="447" t="e">
        <f t="shared" ca="1" si="226"/>
        <v>#NAME?</v>
      </c>
      <c r="BC96" s="447" t="e">
        <f t="shared" si="227"/>
        <v>#REF!</v>
      </c>
      <c r="BD96" s="447" t="e">
        <f t="shared" si="228"/>
        <v>#REF!</v>
      </c>
      <c r="BE96" s="447" t="e">
        <f t="shared" si="229"/>
        <v>#REF!</v>
      </c>
      <c r="BF96" s="447" t="e">
        <f t="shared" si="230"/>
        <v>#REF!</v>
      </c>
      <c r="BG96" s="18"/>
      <c r="BH96" s="2" t="e">
        <f t="shared" ca="1" si="231"/>
        <v>#REF!</v>
      </c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</row>
    <row r="97" spans="1:76" x14ac:dyDescent="0.2">
      <c r="A97" s="560" t="s">
        <v>237</v>
      </c>
      <c r="B97" s="589" t="s">
        <v>390</v>
      </c>
      <c r="C97" s="584">
        <v>629.48818897637796</v>
      </c>
      <c r="D97" s="16"/>
      <c r="E97" s="17">
        <v>22.63</v>
      </c>
      <c r="F97" s="17">
        <v>0</v>
      </c>
      <c r="G97">
        <v>1980.95</v>
      </c>
      <c r="H97">
        <v>40</v>
      </c>
      <c r="I97">
        <v>802.08</v>
      </c>
      <c r="J97">
        <v>44.57</v>
      </c>
      <c r="K97" s="17">
        <v>40</v>
      </c>
      <c r="L97">
        <v>85.78</v>
      </c>
      <c r="M97">
        <v>1149.8900000000001</v>
      </c>
      <c r="N97" s="271">
        <v>0</v>
      </c>
      <c r="O97" s="271">
        <v>0</v>
      </c>
      <c r="P97">
        <v>64.260000000000005</v>
      </c>
      <c r="Q97">
        <v>64.290000000000006</v>
      </c>
      <c r="R97" s="58"/>
      <c r="S97" s="441">
        <f t="shared" si="203"/>
        <v>2043.5800000000002</v>
      </c>
      <c r="T97" s="441" t="e">
        <f t="shared" si="204"/>
        <v>#REF!</v>
      </c>
      <c r="U97" s="441" t="e">
        <f>MAX(U$89:U$90)+IF($B$2="mil",1,0.0254)*DDR2Specs!$B$3</f>
        <v>#REF!</v>
      </c>
      <c r="V97" s="441" t="e">
        <f>MIN(U$89:U$90)+IF($B$2="mil",1,0.0254)*DDR2Specs!$C$3</f>
        <v>#REF!</v>
      </c>
      <c r="W97" s="18"/>
      <c r="X97" s="534" t="e">
        <f t="shared" si="205"/>
        <v>#REF!</v>
      </c>
      <c r="Y97" s="447" t="e">
        <f t="shared" si="206"/>
        <v>#REF!</v>
      </c>
      <c r="Z97" s="18"/>
      <c r="AA97" s="441">
        <f t="shared" si="207"/>
        <v>4190.1600000000008</v>
      </c>
      <c r="AB97" s="441" t="e">
        <f t="shared" si="208"/>
        <v>#REF!</v>
      </c>
      <c r="AC97" s="441" t="e">
        <f>MAX(AC$89:AC$90)+IF($B$2="mil",1,0.0254)*DDR2Specs!$E$3</f>
        <v>#REF!</v>
      </c>
      <c r="AD97" s="441" t="e">
        <f>MIN(AC$89:AC$90)+IF($B$2="mil",1,0.0254)*DDR2Specs!$F$3</f>
        <v>#REF!</v>
      </c>
      <c r="AE97" s="18"/>
      <c r="AF97" s="534" t="e">
        <f t="shared" si="209"/>
        <v>#REF!</v>
      </c>
      <c r="AG97" s="447" t="e">
        <f t="shared" si="210"/>
        <v>#REF!</v>
      </c>
      <c r="AH97" s="18"/>
      <c r="AI97" s="441">
        <f t="shared" si="211"/>
        <v>4190.1900000000005</v>
      </c>
      <c r="AJ97" s="441" t="e">
        <f t="shared" si="212"/>
        <v>#REF!</v>
      </c>
      <c r="AK97" s="441" t="e">
        <f>MAX(AK$89:AK$90)+IF($B$2="mil",1,0.0254)*DDR2Specs!$E$3</f>
        <v>#REF!</v>
      </c>
      <c r="AL97" s="441" t="e">
        <f>MIN(AK$89:AK$90)+IF($B$2="mil",1,0.0254)*DDR2Specs!$F$3</f>
        <v>#REF!</v>
      </c>
      <c r="AM97" s="18"/>
      <c r="AN97" s="534" t="e">
        <f t="shared" si="213"/>
        <v>#REF!</v>
      </c>
      <c r="AO97" s="447" t="e">
        <f t="shared" si="214"/>
        <v>#REF!</v>
      </c>
      <c r="AP97" s="18"/>
      <c r="AQ97" s="447" t="e">
        <f t="shared" si="215"/>
        <v>#REF!</v>
      </c>
      <c r="AR97" s="447" t="e">
        <f t="shared" si="216"/>
        <v>#REF!</v>
      </c>
      <c r="AS97" s="447" t="e">
        <f t="shared" si="217"/>
        <v>#REF!</v>
      </c>
      <c r="AT97" s="447" t="e">
        <f t="shared" ca="1" si="218"/>
        <v>#NAME?</v>
      </c>
      <c r="AU97" s="447" t="e">
        <f t="shared" si="219"/>
        <v>#REF!</v>
      </c>
      <c r="AV97" s="447" t="e">
        <f t="shared" si="220"/>
        <v>#REF!</v>
      </c>
      <c r="AW97" s="447" t="e">
        <f t="shared" si="221"/>
        <v>#REF!</v>
      </c>
      <c r="AX97" s="447" t="e">
        <f t="shared" si="222"/>
        <v>#REF!</v>
      </c>
      <c r="AY97" s="447" t="e">
        <f t="shared" si="223"/>
        <v>#REF!</v>
      </c>
      <c r="AZ97" s="445" t="e">
        <f t="shared" si="224"/>
        <v>#REF!</v>
      </c>
      <c r="BA97" s="447" t="e">
        <f t="shared" ca="1" si="225"/>
        <v>#NAME?</v>
      </c>
      <c r="BB97" s="447" t="e">
        <f t="shared" ca="1" si="226"/>
        <v>#NAME?</v>
      </c>
      <c r="BC97" s="447" t="e">
        <f t="shared" si="227"/>
        <v>#REF!</v>
      </c>
      <c r="BD97" s="447" t="e">
        <f t="shared" si="228"/>
        <v>#REF!</v>
      </c>
      <c r="BE97" s="447" t="e">
        <f t="shared" si="229"/>
        <v>#REF!</v>
      </c>
      <c r="BF97" s="447" t="e">
        <f t="shared" si="230"/>
        <v>#REF!</v>
      </c>
      <c r="BG97" s="18"/>
      <c r="BH97" s="2" t="e">
        <f t="shared" ca="1" si="231"/>
        <v>#REF!</v>
      </c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</row>
    <row r="98" spans="1:76" x14ac:dyDescent="0.2">
      <c r="A98" s="560" t="s">
        <v>238</v>
      </c>
      <c r="B98" s="589" t="s">
        <v>543</v>
      </c>
      <c r="C98" s="584">
        <v>637.44094488188978</v>
      </c>
      <c r="D98" s="16"/>
      <c r="E98" s="17">
        <v>22.63</v>
      </c>
      <c r="F98" s="17">
        <v>0</v>
      </c>
      <c r="G98">
        <v>1956.29</v>
      </c>
      <c r="H98">
        <v>50</v>
      </c>
      <c r="I98">
        <v>770.3</v>
      </c>
      <c r="J98">
        <v>85.78</v>
      </c>
      <c r="K98" s="17">
        <v>40</v>
      </c>
      <c r="L98">
        <v>44.57</v>
      </c>
      <c r="M98">
        <v>1201.22</v>
      </c>
      <c r="N98" s="271">
        <v>0</v>
      </c>
      <c r="O98" s="271">
        <v>0</v>
      </c>
      <c r="P98">
        <v>63.22</v>
      </c>
      <c r="Q98">
        <v>63.2</v>
      </c>
      <c r="R98" s="58"/>
      <c r="S98" s="441">
        <f t="shared" si="203"/>
        <v>2028.92</v>
      </c>
      <c r="T98" s="441" t="e">
        <f t="shared" si="204"/>
        <v>#REF!</v>
      </c>
      <c r="U98" s="441" t="e">
        <f>MAX(U$89:U$90)+IF($B$2="mil",1,0.0254)*DDR2Specs!$B$3</f>
        <v>#REF!</v>
      </c>
      <c r="V98" s="441" t="e">
        <f>MIN(U$89:U$90)+IF($B$2="mil",1,0.0254)*DDR2Specs!$C$3</f>
        <v>#REF!</v>
      </c>
      <c r="W98" s="18"/>
      <c r="X98" s="534" t="e">
        <f t="shared" si="205"/>
        <v>#REF!</v>
      </c>
      <c r="Y98" s="447" t="e">
        <f t="shared" si="206"/>
        <v>#REF!</v>
      </c>
      <c r="Z98" s="18"/>
      <c r="AA98" s="441">
        <f t="shared" si="207"/>
        <v>4184.0100000000011</v>
      </c>
      <c r="AB98" s="441" t="e">
        <f t="shared" si="208"/>
        <v>#REF!</v>
      </c>
      <c r="AC98" s="441" t="e">
        <f>MAX(AC$89:AC$90)+IF($B$2="mil",1,0.0254)*DDR2Specs!$E$3</f>
        <v>#REF!</v>
      </c>
      <c r="AD98" s="441" t="e">
        <f>MIN(AC$89:AC$90)+IF($B$2="mil",1,0.0254)*DDR2Specs!$F$3</f>
        <v>#REF!</v>
      </c>
      <c r="AE98" s="18"/>
      <c r="AF98" s="534" t="e">
        <f t="shared" si="209"/>
        <v>#REF!</v>
      </c>
      <c r="AG98" s="447" t="e">
        <f t="shared" si="210"/>
        <v>#REF!</v>
      </c>
      <c r="AH98" s="18"/>
      <c r="AI98" s="441">
        <f t="shared" si="211"/>
        <v>4183.9900000000007</v>
      </c>
      <c r="AJ98" s="441" t="e">
        <f t="shared" si="212"/>
        <v>#REF!</v>
      </c>
      <c r="AK98" s="441" t="e">
        <f>MAX(AK$89:AK$90)+IF($B$2="mil",1,0.0254)*DDR2Specs!$E$3</f>
        <v>#REF!</v>
      </c>
      <c r="AL98" s="441" t="e">
        <f>MIN(AK$89:AK$90)+IF($B$2="mil",1,0.0254)*DDR2Specs!$F$3</f>
        <v>#REF!</v>
      </c>
      <c r="AM98" s="18"/>
      <c r="AN98" s="534" t="e">
        <f t="shared" si="213"/>
        <v>#REF!</v>
      </c>
      <c r="AO98" s="447" t="e">
        <f t="shared" si="214"/>
        <v>#REF!</v>
      </c>
      <c r="AP98" s="18"/>
      <c r="AQ98" s="447" t="e">
        <f t="shared" si="215"/>
        <v>#REF!</v>
      </c>
      <c r="AR98" s="447" t="e">
        <f t="shared" si="216"/>
        <v>#REF!</v>
      </c>
      <c r="AS98" s="447" t="e">
        <f t="shared" si="217"/>
        <v>#REF!</v>
      </c>
      <c r="AT98" s="447" t="e">
        <f t="shared" ca="1" si="218"/>
        <v>#NAME?</v>
      </c>
      <c r="AU98" s="447" t="e">
        <f t="shared" si="219"/>
        <v>#REF!</v>
      </c>
      <c r="AV98" s="447" t="e">
        <f t="shared" si="220"/>
        <v>#REF!</v>
      </c>
      <c r="AW98" s="447" t="e">
        <f t="shared" si="221"/>
        <v>#REF!</v>
      </c>
      <c r="AX98" s="447" t="e">
        <f t="shared" si="222"/>
        <v>#REF!</v>
      </c>
      <c r="AY98" s="447" t="e">
        <f t="shared" si="223"/>
        <v>#REF!</v>
      </c>
      <c r="AZ98" s="445" t="e">
        <f t="shared" si="224"/>
        <v>#REF!</v>
      </c>
      <c r="BA98" s="447" t="e">
        <f t="shared" ca="1" si="225"/>
        <v>#NAME?</v>
      </c>
      <c r="BB98" s="447" t="e">
        <f t="shared" ca="1" si="226"/>
        <v>#NAME?</v>
      </c>
      <c r="BC98" s="447" t="e">
        <f t="shared" si="227"/>
        <v>#REF!</v>
      </c>
      <c r="BD98" s="447" t="e">
        <f t="shared" si="228"/>
        <v>#REF!</v>
      </c>
      <c r="BE98" s="447" t="e">
        <f t="shared" si="229"/>
        <v>#REF!</v>
      </c>
      <c r="BF98" s="447" t="e">
        <f t="shared" si="230"/>
        <v>#REF!</v>
      </c>
      <c r="BG98" s="18"/>
      <c r="BH98" s="2" t="e">
        <f t="shared" ca="1" si="231"/>
        <v>#REF!</v>
      </c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</row>
    <row r="99" spans="1:76" x14ac:dyDescent="0.2">
      <c r="A99" s="560" t="s">
        <v>239</v>
      </c>
      <c r="B99" s="590" t="s">
        <v>163</v>
      </c>
      <c r="C99" s="584">
        <v>711.69291338582684</v>
      </c>
      <c r="D99" s="16"/>
      <c r="E99" s="17">
        <v>22.63</v>
      </c>
      <c r="F99" s="17">
        <v>0</v>
      </c>
      <c r="G99">
        <v>1930.8</v>
      </c>
      <c r="H99">
        <v>8</v>
      </c>
      <c r="I99">
        <v>760.87</v>
      </c>
      <c r="J99">
        <v>85.78</v>
      </c>
      <c r="K99" s="17">
        <v>40</v>
      </c>
      <c r="L99">
        <v>85.78</v>
      </c>
      <c r="M99">
        <v>1105.3</v>
      </c>
      <c r="N99" s="271">
        <v>0</v>
      </c>
      <c r="O99" s="271">
        <v>0</v>
      </c>
      <c r="P99">
        <v>75.430000000000007</v>
      </c>
      <c r="Q99">
        <v>76.930000000000007</v>
      </c>
      <c r="R99" s="58"/>
      <c r="S99" s="441">
        <f t="shared" si="203"/>
        <v>1961.43</v>
      </c>
      <c r="T99" s="441" t="e">
        <f t="shared" si="204"/>
        <v>#REF!</v>
      </c>
      <c r="U99" s="441" t="e">
        <f>MAX(U$89:U$90)+IF($B$2="mil",1,0.0254)*DDR2Specs!$B$3</f>
        <v>#REF!</v>
      </c>
      <c r="V99" s="441" t="e">
        <f>MIN(U$89:U$90)+IF($B$2="mil",1,0.0254)*DDR2Specs!$C$3</f>
        <v>#REF!</v>
      </c>
      <c r="W99" s="18"/>
      <c r="X99" s="534" t="e">
        <f t="shared" si="205"/>
        <v>#REF!</v>
      </c>
      <c r="Y99" s="447" t="e">
        <f t="shared" si="206"/>
        <v>#REF!</v>
      </c>
      <c r="Z99" s="18"/>
      <c r="AA99" s="441">
        <f t="shared" si="207"/>
        <v>4106.5900000000011</v>
      </c>
      <c r="AB99" s="441" t="e">
        <f t="shared" si="208"/>
        <v>#REF!</v>
      </c>
      <c r="AC99" s="441" t="e">
        <f>MAX(AC$89:AC$90)+IF($B$2="mil",1,0.0254)*DDR2Specs!$E$3</f>
        <v>#REF!</v>
      </c>
      <c r="AD99" s="441" t="e">
        <f>MIN(AC$89:AC$90)+IF($B$2="mil",1,0.0254)*DDR2Specs!$F$3</f>
        <v>#REF!</v>
      </c>
      <c r="AE99" s="18"/>
      <c r="AF99" s="534" t="e">
        <f t="shared" si="209"/>
        <v>#REF!</v>
      </c>
      <c r="AG99" s="447" t="e">
        <f t="shared" si="210"/>
        <v>#REF!</v>
      </c>
      <c r="AH99" s="18"/>
      <c r="AI99" s="441">
        <f t="shared" si="211"/>
        <v>4108.0900000000011</v>
      </c>
      <c r="AJ99" s="441" t="e">
        <f t="shared" si="212"/>
        <v>#REF!</v>
      </c>
      <c r="AK99" s="441" t="e">
        <f>MAX(AK$89:AK$90)+IF($B$2="mil",1,0.0254)*DDR2Specs!$E$3</f>
        <v>#REF!</v>
      </c>
      <c r="AL99" s="441" t="e">
        <f>MIN(AK$89:AK$90)+IF($B$2="mil",1,0.0254)*DDR2Specs!$F$3</f>
        <v>#REF!</v>
      </c>
      <c r="AM99" s="18"/>
      <c r="AN99" s="534" t="e">
        <f t="shared" si="213"/>
        <v>#REF!</v>
      </c>
      <c r="AO99" s="447" t="e">
        <f t="shared" si="214"/>
        <v>#REF!</v>
      </c>
      <c r="AP99" s="18"/>
      <c r="AQ99" s="447" t="e">
        <f t="shared" si="215"/>
        <v>#REF!</v>
      </c>
      <c r="AR99" s="447" t="e">
        <f t="shared" si="216"/>
        <v>#REF!</v>
      </c>
      <c r="AS99" s="447" t="e">
        <f t="shared" si="217"/>
        <v>#REF!</v>
      </c>
      <c r="AT99" s="447" t="e">
        <f t="shared" ca="1" si="218"/>
        <v>#NAME?</v>
      </c>
      <c r="AU99" s="447" t="e">
        <f t="shared" si="219"/>
        <v>#REF!</v>
      </c>
      <c r="AV99" s="447" t="e">
        <f t="shared" si="220"/>
        <v>#REF!</v>
      </c>
      <c r="AW99" s="447" t="e">
        <f t="shared" si="221"/>
        <v>#REF!</v>
      </c>
      <c r="AX99" s="447" t="e">
        <f t="shared" si="222"/>
        <v>#REF!</v>
      </c>
      <c r="AY99" s="447" t="e">
        <f t="shared" si="223"/>
        <v>#REF!</v>
      </c>
      <c r="AZ99" s="445" t="e">
        <f t="shared" si="224"/>
        <v>#REF!</v>
      </c>
      <c r="BA99" s="447" t="e">
        <f t="shared" ca="1" si="225"/>
        <v>#NAME?</v>
      </c>
      <c r="BB99" s="447" t="e">
        <f t="shared" ca="1" si="226"/>
        <v>#NAME?</v>
      </c>
      <c r="BC99" s="447" t="e">
        <f t="shared" si="227"/>
        <v>#REF!</v>
      </c>
      <c r="BD99" s="447" t="e">
        <f t="shared" si="228"/>
        <v>#REF!</v>
      </c>
      <c r="BE99" s="447" t="e">
        <f t="shared" si="229"/>
        <v>#REF!</v>
      </c>
      <c r="BF99" s="447" t="e">
        <f t="shared" si="230"/>
        <v>#REF!</v>
      </c>
      <c r="BG99" s="18"/>
      <c r="BH99" s="2" t="e">
        <f t="shared" ca="1" si="231"/>
        <v>#REF!</v>
      </c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</row>
    <row r="100" spans="1:76" ht="12.75" customHeight="1" x14ac:dyDescent="0.2">
      <c r="A100" s="99"/>
      <c r="B100" s="440"/>
      <c r="C100" s="440"/>
      <c r="D100" s="70"/>
      <c r="E100" s="71"/>
      <c r="F100" s="71"/>
      <c r="G100" s="71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71"/>
      <c r="S100" s="71"/>
      <c r="T100" s="71"/>
      <c r="U100" s="71"/>
      <c r="V100" s="71"/>
      <c r="W100" s="71"/>
      <c r="X100" s="545"/>
      <c r="Y100" s="546"/>
      <c r="Z100" s="71"/>
      <c r="AA100" s="71"/>
      <c r="AB100" s="71"/>
      <c r="AC100" s="71"/>
      <c r="AD100" s="71"/>
      <c r="AE100" s="71"/>
      <c r="AF100" s="545"/>
      <c r="AG100" s="546"/>
      <c r="AH100" s="71"/>
      <c r="AI100" s="71"/>
      <c r="AJ100" s="71"/>
      <c r="AK100" s="71"/>
      <c r="AL100" s="71"/>
      <c r="AM100" s="71"/>
      <c r="AN100" s="545"/>
      <c r="AO100" s="546"/>
      <c r="AP100" s="71"/>
      <c r="AQ100" s="546"/>
      <c r="AR100" s="547"/>
      <c r="AS100" s="548"/>
      <c r="AT100" s="548"/>
      <c r="AU100" s="548"/>
      <c r="AV100" s="548"/>
      <c r="AW100" s="548"/>
      <c r="AX100" s="548"/>
      <c r="AY100" s="548"/>
      <c r="AZ100" s="548"/>
      <c r="BA100" s="548"/>
      <c r="BB100" s="548"/>
      <c r="BC100" s="548"/>
      <c r="BD100" s="548"/>
      <c r="BE100" s="548"/>
      <c r="BF100" s="548"/>
      <c r="BG100" s="18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</row>
    <row r="101" spans="1:76" ht="25.5" x14ac:dyDescent="0.35">
      <c r="A101" s="39" t="s">
        <v>57</v>
      </c>
      <c r="C101" s="4"/>
    </row>
    <row r="102" spans="1:76" x14ac:dyDescent="0.2">
      <c r="AI102"/>
      <c r="AJ102"/>
    </row>
    <row r="103" spans="1:76" x14ac:dyDescent="0.2">
      <c r="T103"/>
      <c r="AA103"/>
      <c r="AB103"/>
      <c r="AI103"/>
      <c r="AJ103"/>
    </row>
    <row r="104" spans="1:76" x14ac:dyDescent="0.2">
      <c r="T104"/>
      <c r="AA104"/>
      <c r="AB104"/>
      <c r="AI104"/>
      <c r="AJ104"/>
    </row>
    <row r="105" spans="1:76" x14ac:dyDescent="0.2">
      <c r="T105"/>
      <c r="AA105"/>
      <c r="AB105"/>
      <c r="AI105"/>
      <c r="AJ105"/>
    </row>
    <row r="106" spans="1:76" x14ac:dyDescent="0.2">
      <c r="H106" s="2"/>
      <c r="I106" s="2"/>
      <c r="J106" s="2"/>
      <c r="K106" s="2"/>
      <c r="L106" s="2"/>
      <c r="M106" s="2"/>
      <c r="N106" s="2"/>
      <c r="O106" s="2"/>
      <c r="P106" s="2"/>
      <c r="Q106" s="2"/>
      <c r="S106" s="2"/>
      <c r="T106"/>
      <c r="AA106"/>
      <c r="AB106"/>
      <c r="AI106"/>
      <c r="AJ106"/>
    </row>
    <row r="107" spans="1:76" x14ac:dyDescent="0.2">
      <c r="T107"/>
      <c r="AA107"/>
      <c r="AB107"/>
      <c r="AI107"/>
      <c r="AJ107"/>
    </row>
    <row r="108" spans="1:76" x14ac:dyDescent="0.2">
      <c r="T108"/>
      <c r="AA108"/>
      <c r="AB108"/>
      <c r="AI108"/>
      <c r="AJ108"/>
    </row>
    <row r="109" spans="1:76" x14ac:dyDescent="0.2">
      <c r="T109"/>
      <c r="AA109"/>
      <c r="AB109"/>
    </row>
    <row r="110" spans="1:76" x14ac:dyDescent="0.2">
      <c r="T110"/>
      <c r="AA110"/>
      <c r="AB110"/>
    </row>
    <row r="217" spans="3:3" x14ac:dyDescent="0.2">
      <c r="C217" s="68"/>
    </row>
  </sheetData>
  <protectedRanges>
    <protectedRange sqref="E79:Q87 E67:Q75 E43:Q51 E91:Q99 E55:Q63 E31:Q39 E19:Q27" name="DDR2Data"/>
    <protectedRange sqref="E7:Q15" name="DDR2Data_1"/>
  </protectedRanges>
  <mergeCells count="2">
    <mergeCell ref="A1:D1"/>
    <mergeCell ref="E1:F1"/>
  </mergeCells>
  <phoneticPr fontId="25" type="noConversion"/>
  <conditionalFormatting sqref="A1:BG1">
    <cfRule type="expression" dxfId="110" priority="11" stopIfTrue="1">
      <formula>$E$1 = "Fail"</formula>
    </cfRule>
    <cfRule type="expression" dxfId="109" priority="12" stopIfTrue="1">
      <formula>$E$1 = "Pass"</formula>
    </cfRule>
  </conditionalFormatting>
  <conditionalFormatting sqref="T7:T15 T19:T27 T31:T39 T43:T51 T55:T63 T67:T75 T79:T87 T91:T99">
    <cfRule type="cellIs" dxfId="108" priority="9" stopIfTrue="1" operator="greaterThan">
      <formula>4000</formula>
    </cfRule>
    <cfRule type="cellIs" dxfId="107" priority="10" stopIfTrue="1" operator="lessThan">
      <formula>4000</formula>
    </cfRule>
  </conditionalFormatting>
  <conditionalFormatting sqref="X7:Y15 AF7:AG15 AN7:AO15 X19:Y27 AF19:AG27 AN19:AO27 X31:Y39 AF31:AG39 AN31:AO39 X43:Y51 AF43:AG51 AN43:AO51 X55:Y63 AF55:AG63 AN55:AO63 X67:Y75 AF67:AG75 AN67:AO75 X79:Y87 AF79:AG87 AN79:AO87 X91:Y99 AF91:AG99 AN91:AO99">
    <cfRule type="cellIs" priority="7" stopIfTrue="1" operator="equal">
      <formula>"Pass"</formula>
    </cfRule>
    <cfRule type="cellIs" dxfId="106" priority="8" stopIfTrue="1" operator="notEqual">
      <formula>"Pass"</formula>
    </cfRule>
  </conditionalFormatting>
  <conditionalFormatting sqref="AB7:AB15 AJ7:AJ15 AB19:AB27 AJ19:AJ27 AB31:AB39 AJ31:AJ39 AB43:AB51 AJ43:AJ51 AB55:AB63 AJ55:AJ63 AB67:AB75 AJ67:AJ75 AB79:AB87 AJ79:AJ87 AB91:AB99 AJ91:AJ99">
    <cfRule type="cellIs" dxfId="105" priority="5" stopIfTrue="1" operator="greaterThan">
      <formula>6250</formula>
    </cfRule>
    <cfRule type="cellIs" dxfId="104" priority="6" stopIfTrue="1" operator="lessThan">
      <formula>6250</formula>
    </cfRule>
  </conditionalFormatting>
  <conditionalFormatting sqref="AQ7:AY15 BA7:BF15 AQ19:AY27 BA19:BF27 AQ31:AY39 BA31:BF39 AQ43:AY51 BA43:BF51 AQ55:AY63 BA55:BF63 AQ67:AY75 BA67:BF75 AQ79:AY87 BA79:BF87 AQ91:AY99 BA91:BF99">
    <cfRule type="cellIs" dxfId="103" priority="2" stopIfTrue="1" operator="notEqual">
      <formula>"Pass"</formula>
    </cfRule>
  </conditionalFormatting>
  <conditionalFormatting sqref="AQ7:BF15 AQ19:BF27 AQ31:BF39 AQ43:BF51 AQ55:BF63 AQ67:BF75 AQ79:BF87 AQ91:BF99">
    <cfRule type="cellIs" dxfId="102" priority="1" stopIfTrue="1" operator="equal">
      <formula>"Pass"</formula>
    </cfRule>
  </conditionalFormatting>
  <conditionalFormatting sqref="AZ7:AZ15 AZ19:AZ27 AZ31:AZ39 AZ43:AZ51 AZ55:AZ63 AZ67:AZ75 AZ79:AZ87 AZ91:AZ99">
    <cfRule type="cellIs" dxfId="101" priority="4" stopIfTrue="1" operator="notEqual">
      <formula>"pass"</formula>
    </cfRule>
  </conditionalFormatting>
  <pageMargins left="0.75" right="0.75" top="1" bottom="1" header="0.5" footer="0.5"/>
  <pageSetup paperSize="9" orientation="portrait" verticalDpi="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Visio.Drawing.11" shapeId="37889" r:id="rId4">
          <objectPr defaultSize="0" autoPict="0" r:id="rId5">
            <anchor moveWithCells="1">
              <from>
                <xdr:col>4</xdr:col>
                <xdr:colOff>28575</xdr:colOff>
                <xdr:row>101</xdr:row>
                <xdr:rowOff>9525</xdr:rowOff>
              </from>
              <to>
                <xdr:col>15</xdr:col>
                <xdr:colOff>295275</xdr:colOff>
                <xdr:row>114</xdr:row>
                <xdr:rowOff>142875</xdr:rowOff>
              </to>
            </anchor>
          </objectPr>
        </oleObject>
      </mc:Choice>
      <mc:Fallback>
        <oleObject progId="Visio.Drawing.11" shapeId="37889" r:id="rId4"/>
      </mc:Fallback>
    </mc:AlternateContent>
  </oleObjects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4"/>
  <dimension ref="A1:AY136"/>
  <sheetViews>
    <sheetView topLeftCell="C63" zoomScale="75" workbookViewId="0">
      <selection activeCell="BJ134" sqref="BJ134"/>
    </sheetView>
  </sheetViews>
  <sheetFormatPr defaultRowHeight="12.75" x14ac:dyDescent="0.2"/>
  <cols>
    <col min="1" max="1" width="26" bestFit="1" customWidth="1"/>
    <col min="2" max="2" width="7.140625" bestFit="1" customWidth="1"/>
    <col min="3" max="3" width="8.7109375" bestFit="1" customWidth="1"/>
    <col min="4" max="4" width="1" customWidth="1"/>
    <col min="5" max="5" width="10" bestFit="1" customWidth="1"/>
    <col min="6" max="6" width="9.7109375" bestFit="1" customWidth="1"/>
    <col min="7" max="7" width="10" bestFit="1" customWidth="1"/>
    <col min="8" max="8" width="26.42578125" bestFit="1" customWidth="1"/>
    <col min="9" max="9" width="1" customWidth="1"/>
    <col min="10" max="10" width="13.85546875" bestFit="1" customWidth="1"/>
    <col min="11" max="11" width="10" bestFit="1" customWidth="1"/>
    <col min="12" max="12" width="1" customWidth="1"/>
    <col min="13" max="13" width="17.140625" bestFit="1" customWidth="1"/>
    <col min="14" max="14" width="23" bestFit="1" customWidth="1"/>
    <col min="15" max="15" width="1" customWidth="1"/>
    <col min="16" max="16" width="18.42578125" bestFit="1" customWidth="1"/>
    <col min="17" max="17" width="13.7109375" customWidth="1"/>
    <col min="18" max="19" width="25.140625" customWidth="1"/>
    <col min="20" max="20" width="14.5703125" bestFit="1" customWidth="1"/>
    <col min="21" max="21" width="16.28515625" bestFit="1" customWidth="1"/>
    <col min="22" max="22" width="41.7109375" customWidth="1"/>
    <col min="23" max="23" width="28.28515625" bestFit="1" customWidth="1"/>
    <col min="24" max="24" width="17.140625" bestFit="1" customWidth="1"/>
    <col min="25" max="25" width="14.5703125" bestFit="1" customWidth="1"/>
    <col min="26" max="26" width="16.140625" bestFit="1" customWidth="1"/>
    <col min="27" max="27" width="12" bestFit="1" customWidth="1"/>
    <col min="28" max="28" width="21.5703125" customWidth="1"/>
    <col min="29" max="29" width="23.7109375" customWidth="1"/>
    <col min="30" max="30" width="17.85546875" bestFit="1" customWidth="1"/>
    <col min="31" max="31" width="13.28515625" bestFit="1" customWidth="1"/>
    <col min="32" max="32" width="12.140625" bestFit="1" customWidth="1"/>
    <col min="33" max="33" width="12" bestFit="1" customWidth="1"/>
    <col min="34" max="34" width="25.140625" bestFit="1" customWidth="1"/>
    <col min="35" max="35" width="15.140625" bestFit="1" customWidth="1"/>
    <col min="36" max="36" width="25.140625" bestFit="1" customWidth="1"/>
    <col min="37" max="37" width="14.5703125" bestFit="1" customWidth="1"/>
    <col min="38" max="38" width="25.140625" bestFit="1" customWidth="1"/>
    <col min="39" max="39" width="15.7109375" bestFit="1" customWidth="1"/>
    <col min="40" max="40" width="16.140625" bestFit="1" customWidth="1"/>
    <col min="41" max="41" width="22.140625" customWidth="1"/>
    <col min="42" max="42" width="19.28515625" customWidth="1"/>
    <col min="43" max="43" width="18.28515625" customWidth="1"/>
    <col min="44" max="44" width="14.7109375" customWidth="1"/>
    <col min="46" max="46" width="17.42578125" customWidth="1"/>
    <col min="47" max="47" width="16.28515625" customWidth="1"/>
    <col min="48" max="48" width="23.28515625" customWidth="1"/>
    <col min="49" max="49" width="19.28515625" customWidth="1"/>
  </cols>
  <sheetData>
    <row r="1" spans="1:29" s="2" customFormat="1" ht="26.25" x14ac:dyDescent="0.2">
      <c r="A1" s="1004" t="s">
        <v>276</v>
      </c>
      <c r="B1" s="1005"/>
      <c r="C1" s="1005"/>
      <c r="D1" s="1005"/>
      <c r="E1" s="1005"/>
      <c r="F1" s="1006" t="e">
        <f ca="1">IF(AND(AB7="Pass",AB8="Pass",AY34="Pass",AY35="Pass",AY60="Pass",AY61="Pass",AY86="Pass",AY87="Pass",AY112="Pass",AY113="Pass"),"Pass","Fail")</f>
        <v>#REF!</v>
      </c>
      <c r="G1" s="1006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3"/>
    </row>
    <row r="2" spans="1:29" s="82" customFormat="1" x14ac:dyDescent="0.2">
      <c r="A2" s="219" t="s">
        <v>58</v>
      </c>
      <c r="B2" s="268" t="e">
        <f>'DDR2 Clocks - 4L'!B2</f>
        <v>#REF!</v>
      </c>
      <c r="C2" s="83"/>
      <c r="D2" s="83"/>
      <c r="E2" s="83"/>
      <c r="F2" s="122"/>
      <c r="G2" s="122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220"/>
    </row>
    <row r="3" spans="1:29" s="133" customFormat="1" ht="22.5" x14ac:dyDescent="0.2">
      <c r="A3" s="221" t="s">
        <v>79</v>
      </c>
      <c r="B3" s="123" t="s">
        <v>62</v>
      </c>
      <c r="C3" s="124" t="s">
        <v>70</v>
      </c>
      <c r="D3" s="125"/>
      <c r="E3" s="126" t="e">
        <f>"Escape
Length L0
 ["&amp;$B$2&amp;"]"</f>
        <v>#REF!</v>
      </c>
      <c r="F3" s="126" t="e">
        <f>"Breakout
Length L1
["&amp; $B$2&amp;"]"</f>
        <v>#REF!</v>
      </c>
      <c r="G3" s="126" t="e">
        <f>"Main
Length L2
[" &amp;$B$2&amp; " ]"</f>
        <v>#REF!</v>
      </c>
      <c r="H3" s="126" t="e">
        <f>"Breakin
Length S1  
[" &amp;$B$2&amp;"]"</f>
        <v>#REF!</v>
      </c>
      <c r="I3" s="129"/>
      <c r="J3" s="130" t="e">
        <f>"Via-to-via (SODIMM-to-Rt) L3 [" &amp;$B$2&amp;"]"</f>
        <v>#REF!</v>
      </c>
      <c r="K3" s="130" t="e">
        <f>"Via-to-Rt 
L4 [" &amp;$B$2&amp;"]"</f>
        <v>#REF!</v>
      </c>
      <c r="L3" s="129"/>
      <c r="M3" s="128" t="e">
        <f>"Total MB Length
(L0+L1+L2+S1)
[" &amp;$B$2&amp;"]"</f>
        <v>#REF!</v>
      </c>
      <c r="N3" s="129" t="e">
        <f>"Total Pad-to-Pin Length (P1+L0+L1+L2+S1)
[" &amp;$B$2&amp;"]"</f>
        <v>#REF!</v>
      </c>
      <c r="O3" s="130"/>
      <c r="P3" s="130" t="e">
        <f>"Target Min Length 
["&amp;$B$2&amp;"]"</f>
        <v>#REF!</v>
      </c>
      <c r="Q3" s="129" t="e">
        <f>"Target Max Length 
["&amp;$B$2&amp;"]"</f>
        <v>#REF!</v>
      </c>
      <c r="R3" s="131" t="e">
        <f>"Routed Too Short [" &amp;$B$2&amp;"]"</f>
        <v>#REF!</v>
      </c>
      <c r="S3" s="130" t="e">
        <f>"Routed Too Long [" &amp;$B$2&amp;"]"</f>
        <v>#REF!</v>
      </c>
      <c r="T3" s="132" t="e">
        <f>"L0 Length Test (&lt;=" &amp; IF($B$2="mil",1,0.0254)*35&amp;$B$2&amp;")"</f>
        <v>#REF!</v>
      </c>
      <c r="U3" s="132" t="e">
        <f>"L1 Length Test (&lt;=" &amp; IF($B$2="mil",1,0.0254)*500&amp;$B$2&amp;")"</f>
        <v>#REF!</v>
      </c>
      <c r="V3" s="132" t="e">
        <f>"S1 Length test (&lt;=" &amp; IF($B$2="mil",1,0.0254)*500 &amp;$B$2&amp;")"</f>
        <v>#REF!</v>
      </c>
      <c r="W3" s="129" t="e">
        <f>"Total Length    (L0+L1+L2+S1) Test
 ("&amp;IF($B$2="mil",1,0.0254)*500&amp;"-"&amp;IF($B$2="mil",1,0.0254)*4750&amp;IF($B$2="mil","mil","mm")&amp;")"</f>
        <v>#REF!</v>
      </c>
      <c r="X3" s="129" t="e">
        <f>"Total Length    (P1+L0+L1+L2+S1) Test
 (&lt;="&amp;IF($B$2="mil",1,25.4)*5250&amp;IF($B$2="mil","mil","mm")&amp;")"</f>
        <v>#REF!</v>
      </c>
      <c r="Y3" s="129" t="e">
        <f>"L3 Length Test (&lt;="&amp;IF($B$2="mil",1,0.0254)*1000&amp;$B$2&amp; ")"</f>
        <v>#REF!</v>
      </c>
      <c r="Z3" s="132" t="e">
        <f>"L4 Length Test (&lt;=" &amp; IF($B$2="mil",1,0.0254)*150&amp;$B$2&amp;") or (L3+L4&lt;= "&amp;IF($B$2="mil",1,0.0254)*1150&amp;$B$2&amp;")"</f>
        <v>#REF!</v>
      </c>
    </row>
    <row r="4" spans="1:29" s="4" customFormat="1" ht="11.25" x14ac:dyDescent="0.2">
      <c r="A4" s="222" t="s">
        <v>259</v>
      </c>
      <c r="B4" s="134"/>
      <c r="C4" s="134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6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7"/>
      <c r="Z4" s="195"/>
      <c r="AA4" s="138"/>
      <c r="AB4" s="139"/>
      <c r="AC4" s="139"/>
    </row>
    <row r="5" spans="1:29" s="4" customFormat="1" ht="11.25" x14ac:dyDescent="0.2">
      <c r="A5" s="223" t="s">
        <v>263</v>
      </c>
      <c r="B5" s="141"/>
      <c r="C5" s="141"/>
      <c r="D5" s="142"/>
      <c r="E5" s="143"/>
      <c r="F5" s="143"/>
      <c r="G5" s="143"/>
      <c r="H5" s="143"/>
      <c r="I5" s="144"/>
      <c r="J5" s="144"/>
      <c r="K5" s="143"/>
      <c r="L5" s="144"/>
      <c r="M5" s="143"/>
      <c r="N5" s="145"/>
      <c r="O5" s="147"/>
      <c r="P5" s="285" t="e">
        <f>MIN('DDR2 Clocks - 4L'!$O$22:$O$25)</f>
        <v>#REF!</v>
      </c>
      <c r="Q5" s="285" t="e">
        <f>MAX('DDR2 Clocks - 4L'!$O$22:$O$25)</f>
        <v>#REF!</v>
      </c>
      <c r="R5" s="149"/>
      <c r="S5" s="149"/>
      <c r="T5" s="149"/>
      <c r="U5" s="152"/>
      <c r="V5" s="153"/>
      <c r="W5" s="153"/>
      <c r="X5" s="153"/>
      <c r="Y5" s="154"/>
      <c r="Z5" s="153"/>
      <c r="AB5" s="21"/>
      <c r="AC5" s="21"/>
    </row>
    <row r="6" spans="1:29" s="4" customFormat="1" ht="11.25" x14ac:dyDescent="0.2">
      <c r="A6" s="222" t="s">
        <v>286</v>
      </c>
      <c r="B6" s="134"/>
      <c r="C6" s="134"/>
      <c r="D6" s="155"/>
      <c r="E6" s="156"/>
      <c r="F6" s="156"/>
      <c r="G6" s="156"/>
      <c r="H6" s="156"/>
      <c r="I6" s="156"/>
      <c r="J6" s="157"/>
      <c r="K6" s="157"/>
      <c r="L6" s="156"/>
      <c r="M6" s="156"/>
      <c r="N6" s="156"/>
      <c r="O6" s="159"/>
      <c r="P6" s="159"/>
      <c r="Q6" s="160"/>
      <c r="R6" s="159"/>
      <c r="S6" s="159"/>
      <c r="T6" s="159"/>
      <c r="U6" s="159"/>
      <c r="V6" s="159"/>
      <c r="W6" s="159"/>
      <c r="X6" s="159"/>
      <c r="Y6" s="159"/>
      <c r="Z6" s="159"/>
    </row>
    <row r="7" spans="1:29" s="4" customFormat="1" x14ac:dyDescent="0.2">
      <c r="A7" s="225" t="s">
        <v>109</v>
      </c>
      <c r="B7" s="161" t="s">
        <v>367</v>
      </c>
      <c r="C7" s="161">
        <v>325</v>
      </c>
      <c r="D7" s="200"/>
      <c r="E7" s="165">
        <v>29.7</v>
      </c>
      <c r="F7" s="165">
        <v>0</v>
      </c>
      <c r="G7" s="270">
        <v>1274.82</v>
      </c>
      <c r="H7" s="270">
        <v>108.78</v>
      </c>
      <c r="I7" s="179"/>
      <c r="J7" s="276">
        <v>0</v>
      </c>
      <c r="K7" s="271">
        <v>47.6</v>
      </c>
      <c r="L7" s="168"/>
      <c r="M7" s="248">
        <f t="shared" ref="M7:M20" si="0" xml:space="preserve"> E7+F7+G7+H7</f>
        <v>1413.3</v>
      </c>
      <c r="N7" s="248" t="e">
        <f t="shared" ref="N7:N20" si="1">IF($B$2="mil",1,0.0254)*C7+ M7</f>
        <v>#REF!</v>
      </c>
      <c r="O7" s="170"/>
      <c r="P7" s="172" t="e">
        <f>MAX($P$5:$Q$5)+IF($B$2="mil",1,0.0254)*DDR2Specs!$B$9</f>
        <v>#REF!</v>
      </c>
      <c r="Q7" s="172" t="e">
        <f>MIN($P$5:$Q$5)+IF($B$2="mil",1,0.0254)*DDR2Specs!$C$9</f>
        <v>#REF!</v>
      </c>
      <c r="R7" s="253" t="e">
        <f t="shared" ref="R7:R20" si="2">IF($N7&lt;$P7,$P7-$N7,"Pass")</f>
        <v>#REF!</v>
      </c>
      <c r="S7" s="254" t="e">
        <f t="shared" ref="S7:S20" si="3">IF($N7&gt;$Q7,$N7-$Q7,"Pass")</f>
        <v>#REF!</v>
      </c>
      <c r="T7" s="175" t="e">
        <f>IF($E7&lt;=IF($B$2="mil",1,0.0254)*35,"Pass",IF($B$2="mil",1,0.0254)*35-$E7)</f>
        <v>#REF!</v>
      </c>
      <c r="U7" s="176" t="e">
        <f>IF($F7&lt;=IF($B$2="mil",1,0.0254)*500,"Pass",IF($B$2="mil",1,0.0254)*500-$F7)</f>
        <v>#REF!</v>
      </c>
      <c r="V7" s="176" t="e">
        <f>IF($H7&lt;=IF($B$2="mil",1,0.0254)*500,"Pass",IF($B$2="mil",1,0.0254)*500-$H7)</f>
        <v>#REF!</v>
      </c>
      <c r="W7" s="176" t="e">
        <f t="shared" ref="W7:W20" si="4">IF(AND($M7&gt;=IF($B$2="mil",1,0.0254)*500, $M7&lt;=IF($B$2="mil",1,0.0254)*4500),"Pass",IF($B$2="mil",1,0.0254)*4500-$M7)</f>
        <v>#REF!</v>
      </c>
      <c r="X7" s="176" t="e">
        <f t="shared" ref="X7:X20" si="5">IF(AND($N7&gt;=IF($B$2="mil",1,0.0254)*500, $N7&lt;=IF($B$2="mil",1,0.0254)*5250),"Pass",IF($B$2="mil",1,0.0254)*5250-$N7)</f>
        <v>#REF!</v>
      </c>
      <c r="Y7" s="176" t="e">
        <f t="shared" ref="Y7:Y20" si="6">IF((J7&lt;=IF($B$2="mil",1,0.0254)*1000),"Pass",IF($B$2="mil",1,0.0254)*1000-J7)</f>
        <v>#REF!</v>
      </c>
      <c r="Z7" s="176" t="e">
        <f ca="1">CheckLength2(1150,J7,K7,0)</f>
        <v>#NAME?</v>
      </c>
      <c r="AA7" s="4" t="e">
        <f ca="1">IF(AND(R7="Pass",S7="Pass",T7="Pass",U7="Pass",V7="Pass",W7="Pass",X7="Pass",Y7="Pass",Z7="Pass"),"Pass","Fail")</f>
        <v>#REF!</v>
      </c>
      <c r="AB7" s="4" t="e">
        <f ca="1">IF(AND(AA7="Pass",AA8="Pass",AA9="Pass",AA10="Pass",AA11="Pass",AA12="Pass",AA13="Pass",AA14="Pass",AA15="Pass"),"Pass","Fail")</f>
        <v>#REF!</v>
      </c>
    </row>
    <row r="8" spans="1:29" s="4" customFormat="1" x14ac:dyDescent="0.2">
      <c r="A8" s="225" t="s">
        <v>110</v>
      </c>
      <c r="B8" s="161" t="s">
        <v>368</v>
      </c>
      <c r="C8" s="161">
        <v>325.3</v>
      </c>
      <c r="D8" s="201"/>
      <c r="E8" s="165">
        <v>29.7</v>
      </c>
      <c r="F8" s="165">
        <v>0</v>
      </c>
      <c r="G8" s="270">
        <v>1197.43</v>
      </c>
      <c r="H8" s="270">
        <v>98.82</v>
      </c>
      <c r="I8" s="179"/>
      <c r="J8" s="276">
        <v>0</v>
      </c>
      <c r="K8" s="271">
        <v>73.38</v>
      </c>
      <c r="L8" s="168"/>
      <c r="M8" s="248">
        <f t="shared" si="0"/>
        <v>1325.95</v>
      </c>
      <c r="N8" s="248" t="e">
        <f t="shared" si="1"/>
        <v>#REF!</v>
      </c>
      <c r="O8" s="179"/>
      <c r="P8" s="172" t="e">
        <f>MAX($P$5:$Q$5)+IF($B$2="mil",1,0.0254)*DDR2Specs!$B$9</f>
        <v>#REF!</v>
      </c>
      <c r="Q8" s="172" t="e">
        <f>MIN($P$5:$Q$5)+IF($B$2="mil",1,0.0254)*DDR2Specs!$C$9</f>
        <v>#REF!</v>
      </c>
      <c r="R8" s="253" t="e">
        <f t="shared" si="2"/>
        <v>#REF!</v>
      </c>
      <c r="S8" s="254" t="e">
        <f t="shared" si="3"/>
        <v>#REF!</v>
      </c>
      <c r="T8" s="175" t="e">
        <f t="shared" ref="T8:T28" si="7">IF($E8&lt;=IF($B$2="mil",1,0.0254)*35,"Pass",IF($B$2="mil",1,0.0254)*35-$E8)</f>
        <v>#REF!</v>
      </c>
      <c r="U8" s="176" t="e">
        <f t="shared" ref="U8:U28" si="8">IF($F8&lt;=IF($B$2="mil",1,0.0254)*500,"Pass",IF($B$2="mil",1,0.0254)*500-$F8)</f>
        <v>#REF!</v>
      </c>
      <c r="V8" s="176" t="e">
        <f t="shared" ref="V8:V28" si="9">IF($H8&lt;=IF($B$2="mil",1,0.0254)*500,"Pass",IF($B$2="mil",1,0.0254)*500-$H8)</f>
        <v>#REF!</v>
      </c>
      <c r="W8" s="176" t="e">
        <f t="shared" si="4"/>
        <v>#REF!</v>
      </c>
      <c r="X8" s="176" t="e">
        <f t="shared" si="5"/>
        <v>#REF!</v>
      </c>
      <c r="Y8" s="176" t="e">
        <f t="shared" si="6"/>
        <v>#REF!</v>
      </c>
      <c r="Z8" s="176" t="e">
        <f t="shared" ref="Z8:Z19" ca="1" si="10">CheckLength2(1150,J8,K8,0)</f>
        <v>#NAME?</v>
      </c>
      <c r="AA8" s="4" t="e">
        <f t="shared" ref="AA8:AA20" ca="1" si="11">IF(AND(R8="Pass",S8="Pass",T8="Pass",U8="Pass",V8="Pass",W8="Pass",X8="Pass",Y8="Pass",Z8="Pass"),"Pass","Fail")</f>
        <v>#REF!</v>
      </c>
      <c r="AB8" s="4" t="e">
        <f ca="1">IF(AND(AA16="Pass",AA17="Pass",AA18="Pass",AA19="Pass",AA20="Pass",AA22="Pass",AA23="Pass",AA24="Pass",AA26="Pass",AA27="Pass",AA28="Pass"),"Pass","Fail")</f>
        <v>#REF!</v>
      </c>
    </row>
    <row r="9" spans="1:29" s="4" customFormat="1" x14ac:dyDescent="0.2">
      <c r="A9" s="225" t="s">
        <v>111</v>
      </c>
      <c r="B9" s="161" t="s">
        <v>371</v>
      </c>
      <c r="C9" s="161">
        <v>430.7</v>
      </c>
      <c r="D9" s="211"/>
      <c r="E9" s="165">
        <v>29.7</v>
      </c>
      <c r="F9" s="165">
        <v>0</v>
      </c>
      <c r="G9" s="270">
        <v>1237.5999999999999</v>
      </c>
      <c r="H9" s="270">
        <v>61.6</v>
      </c>
      <c r="I9" s="212"/>
      <c r="J9" s="276">
        <v>0</v>
      </c>
      <c r="K9" s="271">
        <v>101.57</v>
      </c>
      <c r="L9" s="213"/>
      <c r="M9" s="248">
        <f t="shared" si="0"/>
        <v>1328.8999999999999</v>
      </c>
      <c r="N9" s="248" t="e">
        <f t="shared" si="1"/>
        <v>#REF!</v>
      </c>
      <c r="O9" s="212"/>
      <c r="P9" s="172" t="e">
        <f>MAX($P$5:$Q$5)+IF($B$2="mil",1,0.0254)*DDR2Specs!$B$9</f>
        <v>#REF!</v>
      </c>
      <c r="Q9" s="172" t="e">
        <f>MIN($P$5:$Q$5)+IF($B$2="mil",1,0.0254)*DDR2Specs!$C$9</f>
        <v>#REF!</v>
      </c>
      <c r="R9" s="253" t="e">
        <f t="shared" si="2"/>
        <v>#REF!</v>
      </c>
      <c r="S9" s="254" t="e">
        <f t="shared" si="3"/>
        <v>#REF!</v>
      </c>
      <c r="T9" s="175" t="e">
        <f t="shared" si="7"/>
        <v>#REF!</v>
      </c>
      <c r="U9" s="176" t="e">
        <f t="shared" si="8"/>
        <v>#REF!</v>
      </c>
      <c r="V9" s="176" t="e">
        <f t="shared" si="9"/>
        <v>#REF!</v>
      </c>
      <c r="W9" s="176" t="e">
        <f t="shared" si="4"/>
        <v>#REF!</v>
      </c>
      <c r="X9" s="176" t="e">
        <f t="shared" si="5"/>
        <v>#REF!</v>
      </c>
      <c r="Y9" s="176" t="e">
        <f t="shared" si="6"/>
        <v>#REF!</v>
      </c>
      <c r="Z9" s="176" t="e">
        <f t="shared" ca="1" si="10"/>
        <v>#NAME?</v>
      </c>
      <c r="AA9" s="4" t="e">
        <f t="shared" ca="1" si="11"/>
        <v>#REF!</v>
      </c>
    </row>
    <row r="10" spans="1:29" s="4" customFormat="1" x14ac:dyDescent="0.2">
      <c r="A10" s="225" t="s">
        <v>112</v>
      </c>
      <c r="B10" s="161" t="s">
        <v>372</v>
      </c>
      <c r="C10" s="161">
        <v>308.89999999999998</v>
      </c>
      <c r="D10" s="211"/>
      <c r="E10" s="165">
        <v>29.7</v>
      </c>
      <c r="F10" s="165">
        <v>0</v>
      </c>
      <c r="G10" s="270">
        <v>1281.2</v>
      </c>
      <c r="H10" s="270">
        <v>58</v>
      </c>
      <c r="I10" s="212"/>
      <c r="J10" s="276">
        <v>0</v>
      </c>
      <c r="K10" s="271">
        <v>123.99</v>
      </c>
      <c r="L10" s="213"/>
      <c r="M10" s="248">
        <f t="shared" si="0"/>
        <v>1368.9</v>
      </c>
      <c r="N10" s="248" t="e">
        <f t="shared" si="1"/>
        <v>#REF!</v>
      </c>
      <c r="O10" s="212"/>
      <c r="P10" s="172" t="e">
        <f>MAX($P$5:$Q$5)+IF($B$2="mil",1,0.0254)*DDR2Specs!$B$9</f>
        <v>#REF!</v>
      </c>
      <c r="Q10" s="172" t="e">
        <f>MIN($P$5:$Q$5)+IF($B$2="mil",1,0.0254)*DDR2Specs!$C$9</f>
        <v>#REF!</v>
      </c>
      <c r="R10" s="253" t="e">
        <f t="shared" si="2"/>
        <v>#REF!</v>
      </c>
      <c r="S10" s="254" t="e">
        <f t="shared" si="3"/>
        <v>#REF!</v>
      </c>
      <c r="T10" s="175" t="e">
        <f t="shared" si="7"/>
        <v>#REF!</v>
      </c>
      <c r="U10" s="176" t="e">
        <f t="shared" si="8"/>
        <v>#REF!</v>
      </c>
      <c r="V10" s="176" t="e">
        <f t="shared" si="9"/>
        <v>#REF!</v>
      </c>
      <c r="W10" s="176" t="e">
        <f t="shared" si="4"/>
        <v>#REF!</v>
      </c>
      <c r="X10" s="176" t="e">
        <f t="shared" si="5"/>
        <v>#REF!</v>
      </c>
      <c r="Y10" s="176" t="e">
        <f t="shared" si="6"/>
        <v>#REF!</v>
      </c>
      <c r="Z10" s="176" t="e">
        <f t="shared" ca="1" si="10"/>
        <v>#NAME?</v>
      </c>
      <c r="AA10" s="4" t="e">
        <f t="shared" ca="1" si="11"/>
        <v>#REF!</v>
      </c>
    </row>
    <row r="11" spans="1:29" s="4" customFormat="1" x14ac:dyDescent="0.2">
      <c r="A11" s="225" t="s">
        <v>113</v>
      </c>
      <c r="B11" s="161" t="s">
        <v>373</v>
      </c>
      <c r="C11" s="161">
        <v>606.29999999999995</v>
      </c>
      <c r="D11" s="211"/>
      <c r="E11" s="165">
        <v>29.7</v>
      </c>
      <c r="F11" s="165">
        <v>0</v>
      </c>
      <c r="G11" s="270">
        <v>1296.2</v>
      </c>
      <c r="H11" s="270">
        <v>117.39</v>
      </c>
      <c r="I11" s="212"/>
      <c r="J11" s="276">
        <v>0</v>
      </c>
      <c r="K11" s="271">
        <v>52.53</v>
      </c>
      <c r="L11" s="213"/>
      <c r="M11" s="248">
        <f t="shared" si="0"/>
        <v>1443.2900000000002</v>
      </c>
      <c r="N11" s="248" t="e">
        <f t="shared" si="1"/>
        <v>#REF!</v>
      </c>
      <c r="O11" s="212"/>
      <c r="P11" s="172" t="e">
        <f>MAX($P$5:$Q$5)+IF($B$2="mil",1,0.0254)*DDR2Specs!$B$9</f>
        <v>#REF!</v>
      </c>
      <c r="Q11" s="172" t="e">
        <f>MIN($P$5:$Q$5)+IF($B$2="mil",1,0.0254)*DDR2Specs!$C$9</f>
        <v>#REF!</v>
      </c>
      <c r="R11" s="253" t="e">
        <f t="shared" si="2"/>
        <v>#REF!</v>
      </c>
      <c r="S11" s="254" t="e">
        <f t="shared" si="3"/>
        <v>#REF!</v>
      </c>
      <c r="T11" s="175" t="e">
        <f t="shared" si="7"/>
        <v>#REF!</v>
      </c>
      <c r="U11" s="176" t="e">
        <f t="shared" si="8"/>
        <v>#REF!</v>
      </c>
      <c r="V11" s="176" t="e">
        <f t="shared" si="9"/>
        <v>#REF!</v>
      </c>
      <c r="W11" s="176" t="e">
        <f t="shared" si="4"/>
        <v>#REF!</v>
      </c>
      <c r="X11" s="176" t="e">
        <f t="shared" si="5"/>
        <v>#REF!</v>
      </c>
      <c r="Y11" s="176" t="e">
        <f t="shared" si="6"/>
        <v>#REF!</v>
      </c>
      <c r="Z11" s="176" t="e">
        <f t="shared" ca="1" si="10"/>
        <v>#NAME?</v>
      </c>
      <c r="AA11" s="4" t="e">
        <f t="shared" ca="1" si="11"/>
        <v>#REF!</v>
      </c>
    </row>
    <row r="12" spans="1:29" s="4" customFormat="1" x14ac:dyDescent="0.2">
      <c r="A12" s="225" t="s">
        <v>114</v>
      </c>
      <c r="B12" s="161" t="s">
        <v>115</v>
      </c>
      <c r="C12" s="161">
        <v>499.7</v>
      </c>
      <c r="D12" s="211"/>
      <c r="E12" s="165">
        <v>29.7</v>
      </c>
      <c r="F12" s="165">
        <v>0</v>
      </c>
      <c r="G12" s="270">
        <v>1217.5</v>
      </c>
      <c r="H12" s="270">
        <v>111.23</v>
      </c>
      <c r="I12" s="212"/>
      <c r="J12" s="276">
        <v>0</v>
      </c>
      <c r="K12" s="271">
        <v>83.88</v>
      </c>
      <c r="L12" s="213"/>
      <c r="M12" s="248">
        <f t="shared" si="0"/>
        <v>1358.43</v>
      </c>
      <c r="N12" s="248" t="e">
        <f t="shared" si="1"/>
        <v>#REF!</v>
      </c>
      <c r="O12" s="212"/>
      <c r="P12" s="172" t="e">
        <f>MAX($P$5:$Q$5)+IF($B$2="mil",1,0.0254)*DDR2Specs!$B$9</f>
        <v>#REF!</v>
      </c>
      <c r="Q12" s="172" t="e">
        <f>MIN($P$5:$Q$5)+IF($B$2="mil",1,0.0254)*DDR2Specs!$C$9</f>
        <v>#REF!</v>
      </c>
      <c r="R12" s="253" t="e">
        <f t="shared" si="2"/>
        <v>#REF!</v>
      </c>
      <c r="S12" s="254" t="e">
        <f t="shared" si="3"/>
        <v>#REF!</v>
      </c>
      <c r="T12" s="175" t="e">
        <f t="shared" si="7"/>
        <v>#REF!</v>
      </c>
      <c r="U12" s="176" t="e">
        <f t="shared" si="8"/>
        <v>#REF!</v>
      </c>
      <c r="V12" s="176" t="e">
        <f t="shared" si="9"/>
        <v>#REF!</v>
      </c>
      <c r="W12" s="176" t="e">
        <f t="shared" si="4"/>
        <v>#REF!</v>
      </c>
      <c r="X12" s="176" t="e">
        <f t="shared" si="5"/>
        <v>#REF!</v>
      </c>
      <c r="Y12" s="176" t="e">
        <f t="shared" si="6"/>
        <v>#REF!</v>
      </c>
      <c r="Z12" s="176" t="e">
        <f t="shared" ca="1" si="10"/>
        <v>#NAME?</v>
      </c>
      <c r="AA12" s="4" t="e">
        <f t="shared" ca="1" si="11"/>
        <v>#REF!</v>
      </c>
    </row>
    <row r="13" spans="1:29" s="4" customFormat="1" x14ac:dyDescent="0.2">
      <c r="A13" s="225" t="s">
        <v>116</v>
      </c>
      <c r="B13" s="161" t="s">
        <v>119</v>
      </c>
      <c r="C13" s="161">
        <v>527.6</v>
      </c>
      <c r="D13" s="211"/>
      <c r="E13" s="165">
        <v>29.7</v>
      </c>
      <c r="F13" s="165">
        <v>0</v>
      </c>
      <c r="G13" s="270">
        <v>1308.9000000000001</v>
      </c>
      <c r="H13" s="270">
        <v>62.51</v>
      </c>
      <c r="I13" s="212"/>
      <c r="J13" s="276">
        <v>0</v>
      </c>
      <c r="K13" s="271">
        <v>104.42</v>
      </c>
      <c r="L13" s="213"/>
      <c r="M13" s="248">
        <f t="shared" si="0"/>
        <v>1401.1100000000001</v>
      </c>
      <c r="N13" s="248" t="e">
        <f t="shared" si="1"/>
        <v>#REF!</v>
      </c>
      <c r="O13" s="212"/>
      <c r="P13" s="172" t="e">
        <f>MAX($P$5:$Q$5)+IF($B$2="mil",1,0.0254)*DDR2Specs!$B$9</f>
        <v>#REF!</v>
      </c>
      <c r="Q13" s="172" t="e">
        <f>MIN($P$5:$Q$5)+IF($B$2="mil",1,0.0254)*DDR2Specs!$C$9</f>
        <v>#REF!</v>
      </c>
      <c r="R13" s="253" t="e">
        <f t="shared" si="2"/>
        <v>#REF!</v>
      </c>
      <c r="S13" s="254" t="e">
        <f t="shared" si="3"/>
        <v>#REF!</v>
      </c>
      <c r="T13" s="175" t="e">
        <f t="shared" si="7"/>
        <v>#REF!</v>
      </c>
      <c r="U13" s="176" t="e">
        <f t="shared" si="8"/>
        <v>#REF!</v>
      </c>
      <c r="V13" s="176" t="e">
        <f t="shared" si="9"/>
        <v>#REF!</v>
      </c>
      <c r="W13" s="176" t="e">
        <f t="shared" si="4"/>
        <v>#REF!</v>
      </c>
      <c r="X13" s="176" t="e">
        <f t="shared" si="5"/>
        <v>#REF!</v>
      </c>
      <c r="Y13" s="176" t="e">
        <f t="shared" si="6"/>
        <v>#REF!</v>
      </c>
      <c r="Z13" s="176" t="e">
        <f t="shared" ca="1" si="10"/>
        <v>#NAME?</v>
      </c>
      <c r="AA13" s="4" t="e">
        <f t="shared" ca="1" si="11"/>
        <v>#REF!</v>
      </c>
    </row>
    <row r="14" spans="1:29" s="4" customFormat="1" x14ac:dyDescent="0.2">
      <c r="A14" s="225" t="s">
        <v>117</v>
      </c>
      <c r="B14" s="161" t="s">
        <v>374</v>
      </c>
      <c r="C14" s="161">
        <v>562.9</v>
      </c>
      <c r="D14" s="211"/>
      <c r="E14" s="165">
        <v>29.7</v>
      </c>
      <c r="F14" s="165">
        <v>0</v>
      </c>
      <c r="G14" s="270">
        <v>1215.96</v>
      </c>
      <c r="H14" s="270">
        <v>115.4</v>
      </c>
      <c r="I14" s="212"/>
      <c r="J14" s="276">
        <v>0</v>
      </c>
      <c r="K14" s="271">
        <v>72.38</v>
      </c>
      <c r="L14" s="213"/>
      <c r="M14" s="248">
        <f t="shared" si="0"/>
        <v>1361.0600000000002</v>
      </c>
      <c r="N14" s="248" t="e">
        <f t="shared" si="1"/>
        <v>#REF!</v>
      </c>
      <c r="O14" s="212"/>
      <c r="P14" s="172" t="e">
        <f>MAX($P$5:$Q$5)+IF($B$2="mil",1,0.0254)*DDR2Specs!$B$9</f>
        <v>#REF!</v>
      </c>
      <c r="Q14" s="172" t="e">
        <f>MIN($P$5:$Q$5)+IF($B$2="mil",1,0.0254)*DDR2Specs!$C$9</f>
        <v>#REF!</v>
      </c>
      <c r="R14" s="253" t="e">
        <f t="shared" si="2"/>
        <v>#REF!</v>
      </c>
      <c r="S14" s="254" t="e">
        <f t="shared" si="3"/>
        <v>#REF!</v>
      </c>
      <c r="T14" s="175" t="e">
        <f t="shared" si="7"/>
        <v>#REF!</v>
      </c>
      <c r="U14" s="176" t="e">
        <f t="shared" si="8"/>
        <v>#REF!</v>
      </c>
      <c r="V14" s="176" t="e">
        <f t="shared" si="9"/>
        <v>#REF!</v>
      </c>
      <c r="W14" s="176" t="e">
        <f t="shared" si="4"/>
        <v>#REF!</v>
      </c>
      <c r="X14" s="176" t="e">
        <f t="shared" si="5"/>
        <v>#REF!</v>
      </c>
      <c r="Y14" s="176" t="e">
        <f t="shared" si="6"/>
        <v>#REF!</v>
      </c>
      <c r="Z14" s="176" t="e">
        <f t="shared" ca="1" si="10"/>
        <v>#NAME?</v>
      </c>
      <c r="AA14" s="4" t="e">
        <f t="shared" ca="1" si="11"/>
        <v>#REF!</v>
      </c>
    </row>
    <row r="15" spans="1:29" s="4" customFormat="1" x14ac:dyDescent="0.2">
      <c r="A15" s="225" t="s">
        <v>118</v>
      </c>
      <c r="B15" s="161" t="s">
        <v>93</v>
      </c>
      <c r="C15" s="161">
        <v>545.6</v>
      </c>
      <c r="D15" s="211"/>
      <c r="E15" s="165">
        <v>29.7</v>
      </c>
      <c r="F15" s="165">
        <v>0</v>
      </c>
      <c r="G15" s="270">
        <v>1162.28</v>
      </c>
      <c r="H15" s="270">
        <v>119.25</v>
      </c>
      <c r="I15" s="212"/>
      <c r="J15" s="276">
        <v>0</v>
      </c>
      <c r="K15" s="271">
        <v>104.68</v>
      </c>
      <c r="L15" s="213"/>
      <c r="M15" s="248">
        <f t="shared" si="0"/>
        <v>1311.23</v>
      </c>
      <c r="N15" s="248" t="e">
        <f t="shared" si="1"/>
        <v>#REF!</v>
      </c>
      <c r="O15" s="212"/>
      <c r="P15" s="172" t="e">
        <f>MAX($P$5:$Q$5)+IF($B$2="mil",1,0.0254)*DDR2Specs!$B$9</f>
        <v>#REF!</v>
      </c>
      <c r="Q15" s="172" t="e">
        <f>MIN($P$5:$Q$5)+IF($B$2="mil",1,0.0254)*DDR2Specs!$C$9</f>
        <v>#REF!</v>
      </c>
      <c r="R15" s="253" t="e">
        <f t="shared" si="2"/>
        <v>#REF!</v>
      </c>
      <c r="S15" s="254" t="e">
        <f t="shared" si="3"/>
        <v>#REF!</v>
      </c>
      <c r="T15" s="175" t="e">
        <f t="shared" si="7"/>
        <v>#REF!</v>
      </c>
      <c r="U15" s="176" t="e">
        <f t="shared" si="8"/>
        <v>#REF!</v>
      </c>
      <c r="V15" s="176" t="e">
        <f t="shared" si="9"/>
        <v>#REF!</v>
      </c>
      <c r="W15" s="176" t="e">
        <f t="shared" si="4"/>
        <v>#REF!</v>
      </c>
      <c r="X15" s="176" t="e">
        <f t="shared" si="5"/>
        <v>#REF!</v>
      </c>
      <c r="Y15" s="176" t="e">
        <f t="shared" si="6"/>
        <v>#REF!</v>
      </c>
      <c r="Z15" s="176" t="e">
        <f t="shared" ca="1" si="10"/>
        <v>#NAME?</v>
      </c>
      <c r="AA15" s="4" t="e">
        <f t="shared" ca="1" si="11"/>
        <v>#REF!</v>
      </c>
    </row>
    <row r="16" spans="1:29" s="4" customFormat="1" x14ac:dyDescent="0.2">
      <c r="A16" s="225" t="s">
        <v>120</v>
      </c>
      <c r="B16" s="161" t="s">
        <v>121</v>
      </c>
      <c r="C16" s="161">
        <v>599.9</v>
      </c>
      <c r="D16" s="211"/>
      <c r="E16" s="165">
        <v>29.7</v>
      </c>
      <c r="F16" s="165">
        <v>0</v>
      </c>
      <c r="G16" s="270">
        <v>1247.99</v>
      </c>
      <c r="H16" s="270">
        <v>155.77000000000001</v>
      </c>
      <c r="I16" s="212"/>
      <c r="J16" s="276">
        <v>0</v>
      </c>
      <c r="K16" s="271">
        <v>83.15</v>
      </c>
      <c r="L16" s="213"/>
      <c r="M16" s="248">
        <f t="shared" si="0"/>
        <v>1433.46</v>
      </c>
      <c r="N16" s="248" t="e">
        <f t="shared" si="1"/>
        <v>#REF!</v>
      </c>
      <c r="O16" s="212"/>
      <c r="P16" s="172" t="e">
        <f>MAX($P$5:$Q$5)+IF($B$2="mil",1,0.0254)*DDR2Specs!$B$9</f>
        <v>#REF!</v>
      </c>
      <c r="Q16" s="172" t="e">
        <f>MIN($P$5:$Q$5)+IF($B$2="mil",1,0.0254)*DDR2Specs!$C$9</f>
        <v>#REF!</v>
      </c>
      <c r="R16" s="253" t="e">
        <f t="shared" si="2"/>
        <v>#REF!</v>
      </c>
      <c r="S16" s="254" t="e">
        <f t="shared" si="3"/>
        <v>#REF!</v>
      </c>
      <c r="T16" s="175" t="e">
        <f t="shared" si="7"/>
        <v>#REF!</v>
      </c>
      <c r="U16" s="176" t="e">
        <f t="shared" si="8"/>
        <v>#REF!</v>
      </c>
      <c r="V16" s="176" t="e">
        <f t="shared" si="9"/>
        <v>#REF!</v>
      </c>
      <c r="W16" s="176" t="e">
        <f t="shared" si="4"/>
        <v>#REF!</v>
      </c>
      <c r="X16" s="176" t="e">
        <f t="shared" si="5"/>
        <v>#REF!</v>
      </c>
      <c r="Y16" s="176" t="e">
        <f t="shared" si="6"/>
        <v>#REF!</v>
      </c>
      <c r="Z16" s="176" t="e">
        <f t="shared" ca="1" si="10"/>
        <v>#NAME?</v>
      </c>
      <c r="AA16" s="4" t="e">
        <f t="shared" ca="1" si="11"/>
        <v>#REF!</v>
      </c>
    </row>
    <row r="17" spans="1:50" s="4" customFormat="1" x14ac:dyDescent="0.2">
      <c r="A17" s="225" t="s">
        <v>122</v>
      </c>
      <c r="B17" s="161" t="s">
        <v>369</v>
      </c>
      <c r="C17" s="161">
        <v>305.2</v>
      </c>
      <c r="D17" s="211"/>
      <c r="E17" s="165">
        <v>29.7</v>
      </c>
      <c r="F17" s="165">
        <v>0</v>
      </c>
      <c r="G17" s="270">
        <v>1277.98</v>
      </c>
      <c r="H17" s="270">
        <v>58</v>
      </c>
      <c r="I17" s="212"/>
      <c r="J17" s="276">
        <v>0</v>
      </c>
      <c r="K17" s="271">
        <v>128.94999999999999</v>
      </c>
      <c r="L17" s="213"/>
      <c r="M17" s="248">
        <f t="shared" si="0"/>
        <v>1365.68</v>
      </c>
      <c r="N17" s="248" t="e">
        <f t="shared" si="1"/>
        <v>#REF!</v>
      </c>
      <c r="O17" s="212"/>
      <c r="P17" s="172" t="e">
        <f>MAX($P$5:$Q$5)+IF($B$2="mil",1,0.0254)*DDR2Specs!$B$9</f>
        <v>#REF!</v>
      </c>
      <c r="Q17" s="172" t="e">
        <f>MIN($P$5:$Q$5)+IF($B$2="mil",1,0.0254)*DDR2Specs!$C$9</f>
        <v>#REF!</v>
      </c>
      <c r="R17" s="253" t="e">
        <f t="shared" si="2"/>
        <v>#REF!</v>
      </c>
      <c r="S17" s="254" t="e">
        <f t="shared" si="3"/>
        <v>#REF!</v>
      </c>
      <c r="T17" s="175" t="e">
        <f t="shared" si="7"/>
        <v>#REF!</v>
      </c>
      <c r="U17" s="176" t="e">
        <f t="shared" si="8"/>
        <v>#REF!</v>
      </c>
      <c r="V17" s="176" t="e">
        <f t="shared" si="9"/>
        <v>#REF!</v>
      </c>
      <c r="W17" s="176" t="e">
        <f t="shared" si="4"/>
        <v>#REF!</v>
      </c>
      <c r="X17" s="176" t="e">
        <f t="shared" si="5"/>
        <v>#REF!</v>
      </c>
      <c r="Y17" s="176" t="e">
        <f t="shared" si="6"/>
        <v>#REF!</v>
      </c>
      <c r="Z17" s="176" t="e">
        <f t="shared" ca="1" si="10"/>
        <v>#NAME?</v>
      </c>
      <c r="AA17" s="4" t="e">
        <f t="shared" ca="1" si="11"/>
        <v>#REF!</v>
      </c>
    </row>
    <row r="18" spans="1:50" s="4" customFormat="1" x14ac:dyDescent="0.2">
      <c r="A18" s="225" t="s">
        <v>123</v>
      </c>
      <c r="B18" s="161" t="s">
        <v>97</v>
      </c>
      <c r="C18" s="161">
        <v>598.4</v>
      </c>
      <c r="D18" s="211"/>
      <c r="E18" s="165">
        <v>29.7</v>
      </c>
      <c r="F18" s="165">
        <v>0</v>
      </c>
      <c r="G18" s="270">
        <v>1210.58</v>
      </c>
      <c r="H18" s="270">
        <v>82.56</v>
      </c>
      <c r="I18" s="212"/>
      <c r="J18" s="276">
        <v>0</v>
      </c>
      <c r="K18" s="271">
        <v>121.39</v>
      </c>
      <c r="L18" s="213"/>
      <c r="M18" s="248">
        <f t="shared" si="0"/>
        <v>1322.84</v>
      </c>
      <c r="N18" s="248" t="e">
        <f t="shared" si="1"/>
        <v>#REF!</v>
      </c>
      <c r="O18" s="212"/>
      <c r="P18" s="172" t="e">
        <f>MAX($P$5:$Q$5)+IF($B$2="mil",1,0.0254)*DDR2Specs!$B$9</f>
        <v>#REF!</v>
      </c>
      <c r="Q18" s="172" t="e">
        <f>MIN($P$5:$Q$5)+IF($B$2="mil",1,0.0254)*DDR2Specs!$C$9</f>
        <v>#REF!</v>
      </c>
      <c r="R18" s="253" t="e">
        <f t="shared" si="2"/>
        <v>#REF!</v>
      </c>
      <c r="S18" s="254" t="e">
        <f t="shared" si="3"/>
        <v>#REF!</v>
      </c>
      <c r="T18" s="175" t="e">
        <f t="shared" si="7"/>
        <v>#REF!</v>
      </c>
      <c r="U18" s="176" t="e">
        <f t="shared" si="8"/>
        <v>#REF!</v>
      </c>
      <c r="V18" s="176" t="e">
        <f t="shared" si="9"/>
        <v>#REF!</v>
      </c>
      <c r="W18" s="176" t="e">
        <f t="shared" si="4"/>
        <v>#REF!</v>
      </c>
      <c r="X18" s="176" t="e">
        <f t="shared" si="5"/>
        <v>#REF!</v>
      </c>
      <c r="Y18" s="176" t="e">
        <f t="shared" si="6"/>
        <v>#REF!</v>
      </c>
      <c r="Z18" s="176" t="e">
        <f t="shared" ca="1" si="10"/>
        <v>#NAME?</v>
      </c>
      <c r="AA18" s="4" t="e">
        <f t="shared" ca="1" si="11"/>
        <v>#REF!</v>
      </c>
    </row>
    <row r="19" spans="1:50" s="4" customFormat="1" x14ac:dyDescent="0.2">
      <c r="A19" s="225" t="s">
        <v>124</v>
      </c>
      <c r="B19" s="161" t="s">
        <v>125</v>
      </c>
      <c r="C19" s="161">
        <v>542.79999999999995</v>
      </c>
      <c r="D19" s="211"/>
      <c r="E19" s="165">
        <v>29.7</v>
      </c>
      <c r="F19" s="165">
        <v>0</v>
      </c>
      <c r="G19" s="270">
        <v>1294.0999999999999</v>
      </c>
      <c r="H19" s="270">
        <v>119.05</v>
      </c>
      <c r="I19" s="212"/>
      <c r="J19" s="276">
        <v>0</v>
      </c>
      <c r="K19" s="271">
        <v>135.99</v>
      </c>
      <c r="L19" s="213"/>
      <c r="M19" s="248">
        <f t="shared" si="0"/>
        <v>1442.85</v>
      </c>
      <c r="N19" s="248" t="e">
        <f t="shared" si="1"/>
        <v>#REF!</v>
      </c>
      <c r="O19" s="212"/>
      <c r="P19" s="172" t="e">
        <f>MAX($P$5:$Q$5)+IF($B$2="mil",1,0.0254)*DDR2Specs!$B$9</f>
        <v>#REF!</v>
      </c>
      <c r="Q19" s="172" t="e">
        <f>MIN($P$5:$Q$5)+IF($B$2="mil",1,0.0254)*DDR2Specs!$C$9</f>
        <v>#REF!</v>
      </c>
      <c r="R19" s="253" t="e">
        <f t="shared" si="2"/>
        <v>#REF!</v>
      </c>
      <c r="S19" s="254" t="e">
        <f t="shared" si="3"/>
        <v>#REF!</v>
      </c>
      <c r="T19" s="175" t="e">
        <f t="shared" si="7"/>
        <v>#REF!</v>
      </c>
      <c r="U19" s="176" t="e">
        <f t="shared" si="8"/>
        <v>#REF!</v>
      </c>
      <c r="V19" s="176" t="e">
        <f t="shared" si="9"/>
        <v>#REF!</v>
      </c>
      <c r="W19" s="176" t="e">
        <f t="shared" si="4"/>
        <v>#REF!</v>
      </c>
      <c r="X19" s="176" t="e">
        <f t="shared" si="5"/>
        <v>#REF!</v>
      </c>
      <c r="Y19" s="176" t="e">
        <f t="shared" si="6"/>
        <v>#REF!</v>
      </c>
      <c r="Z19" s="176" t="e">
        <f t="shared" ca="1" si="10"/>
        <v>#NAME?</v>
      </c>
      <c r="AA19" s="4" t="e">
        <f t="shared" ca="1" si="11"/>
        <v>#REF!</v>
      </c>
    </row>
    <row r="20" spans="1:50" s="4" customFormat="1" x14ac:dyDescent="0.2">
      <c r="A20" s="225" t="s">
        <v>126</v>
      </c>
      <c r="B20" s="161" t="s">
        <v>370</v>
      </c>
      <c r="C20" s="161">
        <v>392</v>
      </c>
      <c r="D20" s="332"/>
      <c r="E20" s="165">
        <v>29.7</v>
      </c>
      <c r="F20" s="165">
        <v>0</v>
      </c>
      <c r="G20" s="270">
        <v>1048.02</v>
      </c>
      <c r="H20" s="270">
        <v>58.41</v>
      </c>
      <c r="I20" s="212"/>
      <c r="J20" s="276">
        <v>0</v>
      </c>
      <c r="K20" s="271">
        <v>124.92</v>
      </c>
      <c r="L20" s="213"/>
      <c r="M20" s="248">
        <f t="shared" si="0"/>
        <v>1136.1300000000001</v>
      </c>
      <c r="N20" s="248" t="e">
        <f t="shared" si="1"/>
        <v>#REF!</v>
      </c>
      <c r="O20" s="212"/>
      <c r="P20" s="172" t="e">
        <f>MAX($P$5:$Q$5)+IF($B$2="mil",1,0.0254)*DDR2Specs!$B$9</f>
        <v>#REF!</v>
      </c>
      <c r="Q20" s="172" t="e">
        <f>MIN($P$5:$Q$5)+IF($B$2="mil",1,0.0254)*DDR2Specs!$C$9</f>
        <v>#REF!</v>
      </c>
      <c r="R20" s="253" t="e">
        <f t="shared" si="2"/>
        <v>#REF!</v>
      </c>
      <c r="S20" s="254" t="e">
        <f t="shared" si="3"/>
        <v>#REF!</v>
      </c>
      <c r="T20" s="175" t="e">
        <f t="shared" si="7"/>
        <v>#REF!</v>
      </c>
      <c r="U20" s="176" t="e">
        <f t="shared" si="8"/>
        <v>#REF!</v>
      </c>
      <c r="V20" s="176" t="e">
        <f t="shared" si="9"/>
        <v>#REF!</v>
      </c>
      <c r="W20" s="176" t="e">
        <f t="shared" si="4"/>
        <v>#REF!</v>
      </c>
      <c r="X20" s="176" t="e">
        <f t="shared" si="5"/>
        <v>#REF!</v>
      </c>
      <c r="Y20" s="176" t="e">
        <f t="shared" si="6"/>
        <v>#REF!</v>
      </c>
      <c r="Z20" s="176" t="e">
        <f ca="1">CheckLength2(1150,J20,K20,0)</f>
        <v>#NAME?</v>
      </c>
      <c r="AA20" s="4" t="e">
        <f t="shared" ca="1" si="11"/>
        <v>#REF!</v>
      </c>
    </row>
    <row r="21" spans="1:50" s="4" customFormat="1" ht="11.25" x14ac:dyDescent="0.2">
      <c r="A21" s="222" t="s">
        <v>287</v>
      </c>
      <c r="B21" s="134"/>
      <c r="C21" s="134"/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249"/>
      <c r="O21" s="159"/>
      <c r="P21" s="159"/>
      <c r="Q21" s="160"/>
      <c r="R21" s="252"/>
      <c r="S21" s="252"/>
      <c r="T21" s="159"/>
      <c r="U21" s="159"/>
      <c r="V21" s="159"/>
      <c r="W21" s="159"/>
      <c r="X21" s="159"/>
      <c r="Y21" s="159"/>
      <c r="Z21" s="224"/>
    </row>
    <row r="22" spans="1:50" s="4" customFormat="1" x14ac:dyDescent="0.2">
      <c r="A22" s="225" t="s">
        <v>128</v>
      </c>
      <c r="B22" s="161" t="s">
        <v>364</v>
      </c>
      <c r="C22" s="341">
        <v>379.5</v>
      </c>
      <c r="D22" s="332"/>
      <c r="E22" s="165">
        <v>29.7</v>
      </c>
      <c r="F22" s="165">
        <v>0</v>
      </c>
      <c r="G22" s="273">
        <v>1240.99</v>
      </c>
      <c r="H22" s="273">
        <v>101.4</v>
      </c>
      <c r="I22" s="212"/>
      <c r="J22" s="276">
        <v>0</v>
      </c>
      <c r="K22" s="271">
        <v>78.7</v>
      </c>
      <c r="L22" s="213"/>
      <c r="M22" s="248">
        <f xml:space="preserve"> E22+F22+G22+H22</f>
        <v>1372.0900000000001</v>
      </c>
      <c r="N22" s="248" t="e">
        <f>IF($B$2="mil",1,0.0254)*C22+ M22</f>
        <v>#REF!</v>
      </c>
      <c r="O22" s="212"/>
      <c r="P22" s="172" t="e">
        <f>MAX($P$5:$Q$5)+IF($B$2="mil",1,0.0254)*DDR2Specs!$B$9</f>
        <v>#REF!</v>
      </c>
      <c r="Q22" s="172" t="e">
        <f>MIN($P$5:$Q$5)+IF($B$2="mil",1,0.0254)*DDR2Specs!$C$9</f>
        <v>#REF!</v>
      </c>
      <c r="R22" s="253" t="e">
        <f>IF($N22&lt;$P22,$P22-$N22,"Pass")</f>
        <v>#REF!</v>
      </c>
      <c r="S22" s="254" t="e">
        <f>IF($N22&gt;$Q22,$N22-$Q22,"Pass")</f>
        <v>#REF!</v>
      </c>
      <c r="T22" s="175" t="e">
        <f t="shared" si="7"/>
        <v>#REF!</v>
      </c>
      <c r="U22" s="176" t="e">
        <f t="shared" si="8"/>
        <v>#REF!</v>
      </c>
      <c r="V22" s="176" t="e">
        <f t="shared" si="9"/>
        <v>#REF!</v>
      </c>
      <c r="W22" s="176" t="e">
        <f>IF(AND($M22&gt;=IF($B$2="mil",1,0.0254)*500, $M22&lt;=IF($B$2="mil",1,0.0254)*4500),"Pass",IF($B$2="mil",1,0.0254)*4500-$M22)</f>
        <v>#REF!</v>
      </c>
      <c r="X22" s="176" t="e">
        <f>IF(AND($N22&gt;=IF($B$2="mil",1,0.0254)*500, $N22&lt;=IF($B$2="mil",1,0.0254)*5250),"Pass",IF($B$2="mil",1,0.0254)*5250-$N22)</f>
        <v>#REF!</v>
      </c>
      <c r="Y22" s="176" t="e">
        <f>IF((J22&lt;=IF($B$2="mil",1,0.0254)*1000),"Pass",IF($B$2="mil",1,0.0254)*1000-J22)</f>
        <v>#REF!</v>
      </c>
      <c r="Z22" s="176" t="e">
        <f ca="1">CheckLength2(1150,J22,K22,0)</f>
        <v>#NAME?</v>
      </c>
      <c r="AA22" s="4" t="e">
        <f ca="1">IF(AND(R22="Pass",S22="Pass",T22="Pass",U22="Pass",V22="Pass",W22="Pass",X22="Pass",Y22="Pass",Z22="Pass"),"Pass","Fail")</f>
        <v>#REF!</v>
      </c>
    </row>
    <row r="23" spans="1:50" s="4" customFormat="1" x14ac:dyDescent="0.2">
      <c r="A23" s="226" t="s">
        <v>130</v>
      </c>
      <c r="B23" s="161" t="s">
        <v>365</v>
      </c>
      <c r="C23" s="341">
        <v>371.8</v>
      </c>
      <c r="D23" s="332"/>
      <c r="E23" s="165">
        <v>29.7</v>
      </c>
      <c r="F23" s="165">
        <v>0</v>
      </c>
      <c r="G23" s="273">
        <v>1310.83</v>
      </c>
      <c r="H23" s="273">
        <v>61.6</v>
      </c>
      <c r="I23" s="212"/>
      <c r="J23" s="276">
        <v>0</v>
      </c>
      <c r="K23" s="271">
        <v>81.19</v>
      </c>
      <c r="L23" s="213"/>
      <c r="M23" s="248">
        <f xml:space="preserve"> E23+F23+G23+H23</f>
        <v>1402.1299999999999</v>
      </c>
      <c r="N23" s="248" t="e">
        <f>IF($B$2="mil",1,0.0254)*C23+ M23</f>
        <v>#REF!</v>
      </c>
      <c r="O23" s="212"/>
      <c r="P23" s="172" t="e">
        <f>MAX($P$5:$Q$5)+IF($B$2="mil",1,0.0254)*DDR2Specs!$B$9</f>
        <v>#REF!</v>
      </c>
      <c r="Q23" s="172" t="e">
        <f>MIN($P$5:$Q$5)+IF($B$2="mil",1,0.0254)*DDR2Specs!$C$9</f>
        <v>#REF!</v>
      </c>
      <c r="R23" s="253" t="e">
        <f>IF($N23&lt;$P23,$P23-$N23,"Pass")</f>
        <v>#REF!</v>
      </c>
      <c r="S23" s="254" t="e">
        <f>IF($N23&gt;$Q23,$N23-$Q23,"Pass")</f>
        <v>#REF!</v>
      </c>
      <c r="T23" s="175" t="e">
        <f t="shared" si="7"/>
        <v>#REF!</v>
      </c>
      <c r="U23" s="176" t="e">
        <f t="shared" si="8"/>
        <v>#REF!</v>
      </c>
      <c r="V23" s="176" t="e">
        <f t="shared" si="9"/>
        <v>#REF!</v>
      </c>
      <c r="W23" s="176" t="e">
        <f>IF(AND($M23&gt;=IF($B$2="mil",1,0.0254)*500, $M23&lt;=IF($B$2="mil",1,0.0254)*4500),"Pass",IF($B$2="mil",1,0.0254)*4500-$M23)</f>
        <v>#REF!</v>
      </c>
      <c r="X23" s="176" t="e">
        <f>IF(AND($N23&gt;=IF($B$2="mil",1,0.0254)*500, $N23&lt;=IF($B$2="mil",1,0.0254)*5250),"Pass",IF($B$2="mil",1,0.0254)*5250-$N23)</f>
        <v>#REF!</v>
      </c>
      <c r="Y23" s="176" t="e">
        <f>IF((J23&lt;=IF($B$2="mil",1,0.0254)*1000),"Pass",IF($B$2="mil",1,0.0254)*1000-J23)</f>
        <v>#REF!</v>
      </c>
      <c r="Z23" s="176" t="e">
        <f ca="1">CheckLength2(1150,J23,K23,0)</f>
        <v>#NAME?</v>
      </c>
      <c r="AA23" s="4" t="e">
        <f ca="1">IF(AND(R23="Pass",S23="Pass",T23="Pass",U23="Pass",V23="Pass",W23="Pass",X23="Pass",Y23="Pass",Z23="Pass"),"Pass","Fail")</f>
        <v>#REF!</v>
      </c>
    </row>
    <row r="24" spans="1:50" s="4" customFormat="1" x14ac:dyDescent="0.2">
      <c r="A24" s="226" t="s">
        <v>131</v>
      </c>
      <c r="B24" s="161" t="s">
        <v>105</v>
      </c>
      <c r="C24" s="341">
        <v>687.9</v>
      </c>
      <c r="D24" s="332"/>
      <c r="E24" s="165">
        <v>29.7</v>
      </c>
      <c r="F24" s="165">
        <v>0</v>
      </c>
      <c r="G24" s="273">
        <v>1020.23</v>
      </c>
      <c r="H24" s="273">
        <v>161.81</v>
      </c>
      <c r="I24" s="212"/>
      <c r="J24" s="276">
        <v>0</v>
      </c>
      <c r="K24" s="271">
        <v>86.15</v>
      </c>
      <c r="L24" s="213"/>
      <c r="M24" s="248">
        <f xml:space="preserve"> E24+F24+G24+H24</f>
        <v>1211.74</v>
      </c>
      <c r="N24" s="248" t="e">
        <f>IF($B$2="mil",1,0.0254)*C24+ M24</f>
        <v>#REF!</v>
      </c>
      <c r="O24" s="212"/>
      <c r="P24" s="172" t="e">
        <f>MAX($P$5:$Q$5)+IF($B$2="mil",1,0.0254)*DDR2Specs!$B$9</f>
        <v>#REF!</v>
      </c>
      <c r="Q24" s="172" t="e">
        <f>MIN($P$5:$Q$5)+IF($B$2="mil",1,0.0254)*DDR2Specs!$C$9</f>
        <v>#REF!</v>
      </c>
      <c r="R24" s="253" t="e">
        <f>IF($N24&lt;$P24,$P24-$N24,"Pass")</f>
        <v>#REF!</v>
      </c>
      <c r="S24" s="254" t="e">
        <f>IF($N24&gt;$Q24,$N24-$Q24,"Pass")</f>
        <v>#REF!</v>
      </c>
      <c r="T24" s="175" t="e">
        <f t="shared" si="7"/>
        <v>#REF!</v>
      </c>
      <c r="U24" s="176" t="e">
        <f t="shared" si="8"/>
        <v>#REF!</v>
      </c>
      <c r="V24" s="176" t="e">
        <f t="shared" si="9"/>
        <v>#REF!</v>
      </c>
      <c r="W24" s="176" t="e">
        <f>IF(AND($M24&gt;=IF($B$2="mil",1,0.0254)*500, $M24&lt;=IF($B$2="mil",1,0.0254)*4500),"Pass",IF($B$2="mil",1,0.0254)*4500-$M24)</f>
        <v>#REF!</v>
      </c>
      <c r="X24" s="176" t="e">
        <f>IF(AND($N24&gt;=IF($B$2="mil",1,0.0254)*500, $N24&lt;=IF($B$2="mil",1,0.0254)*5250),"Pass",IF($B$2="mil",1,0.0254)*5250-$N24)</f>
        <v>#REF!</v>
      </c>
      <c r="Y24" s="176" t="e">
        <f>IF((J24&lt;=IF($B$2="mil",1,0.0254)*1000),"Pass",IF($B$2="mil",1,0.0254)*1000-J24)</f>
        <v>#REF!</v>
      </c>
      <c r="Z24" s="176" t="e">
        <f ca="1">CheckLength2(1150,J24,K24,0)</f>
        <v>#NAME?</v>
      </c>
      <c r="AA24" s="4" t="e">
        <f ca="1">IF(AND(R24="Pass",S24="Pass",T24="Pass",U24="Pass",V24="Pass",W24="Pass",X24="Pass",Y24="Pass",Z24="Pass"),"Pass","Fail")</f>
        <v>#REF!</v>
      </c>
    </row>
    <row r="25" spans="1:50" s="218" customFormat="1" ht="11.25" x14ac:dyDescent="0.2">
      <c r="A25" s="222" t="s">
        <v>288</v>
      </c>
      <c r="B25" s="134"/>
      <c r="C25" s="134"/>
      <c r="D25" s="134"/>
      <c r="E25" s="134"/>
      <c r="F25" s="134"/>
      <c r="G25" s="134"/>
      <c r="H25" s="134"/>
      <c r="I25" s="134"/>
      <c r="J25" s="134"/>
      <c r="K25" s="134"/>
      <c r="L25" s="134"/>
      <c r="M25" s="134"/>
      <c r="N25" s="250"/>
      <c r="O25" s="134"/>
      <c r="P25" s="134"/>
      <c r="Q25" s="134"/>
      <c r="R25" s="250"/>
      <c r="S25" s="250"/>
      <c r="T25" s="134"/>
      <c r="U25" s="134"/>
      <c r="V25" s="134"/>
      <c r="W25" s="134"/>
      <c r="X25" s="134"/>
      <c r="Y25" s="134"/>
      <c r="Z25" s="227"/>
    </row>
    <row r="26" spans="1:50" s="4" customFormat="1" x14ac:dyDescent="0.2">
      <c r="A26" s="225" t="s">
        <v>132</v>
      </c>
      <c r="B26" s="162" t="s">
        <v>135</v>
      </c>
      <c r="C26" s="163">
        <v>320.89999999999998</v>
      </c>
      <c r="D26" s="332"/>
      <c r="E26" s="165">
        <v>29.7</v>
      </c>
      <c r="F26" s="165">
        <v>0</v>
      </c>
      <c r="G26" s="275">
        <v>1247.8699999999999</v>
      </c>
      <c r="H26" s="275">
        <v>107.82</v>
      </c>
      <c r="I26" s="212"/>
      <c r="J26" s="276">
        <v>0</v>
      </c>
      <c r="K26" s="271">
        <v>47.81</v>
      </c>
      <c r="L26" s="213"/>
      <c r="M26" s="248">
        <f xml:space="preserve"> E26+F26+G26+H26</f>
        <v>1385.3899999999999</v>
      </c>
      <c r="N26" s="248" t="e">
        <f>IF($B$2="mil",1,0.0254)*C26+ M26</f>
        <v>#REF!</v>
      </c>
      <c r="O26" s="212"/>
      <c r="P26" s="172" t="e">
        <f>MAX($P$5:$Q$5)+IF($B$2="mil",1,0.0254)*DDR2Specs!$B$9</f>
        <v>#REF!</v>
      </c>
      <c r="Q26" s="172" t="e">
        <f>MIN($P$5:$Q$5)+IF($B$2="mil",1,0.0254)*DDR2Specs!$C$9</f>
        <v>#REF!</v>
      </c>
      <c r="R26" s="253" t="e">
        <f>IF($N26&lt;$P26,$P26-$N26,"Pass")</f>
        <v>#REF!</v>
      </c>
      <c r="S26" s="254" t="e">
        <f>IF($N26&gt;$Q26,$N26-$Q26,"Pass")</f>
        <v>#REF!</v>
      </c>
      <c r="T26" s="175" t="e">
        <f t="shared" si="7"/>
        <v>#REF!</v>
      </c>
      <c r="U26" s="176" t="e">
        <f t="shared" si="8"/>
        <v>#REF!</v>
      </c>
      <c r="V26" s="176" t="e">
        <f t="shared" si="9"/>
        <v>#REF!</v>
      </c>
      <c r="W26" s="176" t="e">
        <f>IF(AND($M26&gt;=IF($B$2="mil",1,0.0254)*500, $M26&lt;=IF($B$2="mil",1,0.0254)*4500),"Pass",IF($B$2="mil",1,0.0254)*4500-$M26)</f>
        <v>#REF!</v>
      </c>
      <c r="X26" s="176" t="e">
        <f>IF(AND($N26&gt;=IF($B$2="mil",1,0.0254)*500, $N26&lt;=IF($B$2="mil",1,0.0254)*5250),"Pass",IF($B$2="mil",1,0.0254)*5250-$N26)</f>
        <v>#REF!</v>
      </c>
      <c r="Y26" s="176" t="e">
        <f>IF((J26&lt;=IF($B$2="mil",1,0.0254)*1000),"Pass",IF($B$2="mil",1,0.0254)*1000-J26)</f>
        <v>#REF!</v>
      </c>
      <c r="Z26" s="176" t="e">
        <f ca="1">CheckLength2(1150,J26,K26,0)</f>
        <v>#NAME?</v>
      </c>
      <c r="AA26" s="4" t="e">
        <f ca="1">IF(AND(R26="Pass",S26="Pass",T26="Pass",U26="Pass",V26="Pass",W26="Pass",X26="Pass",Y26="Pass",Z26="Pass"),"Pass","Fail")</f>
        <v>#REF!</v>
      </c>
    </row>
    <row r="27" spans="1:50" s="4" customFormat="1" x14ac:dyDescent="0.2">
      <c r="A27" s="228" t="s">
        <v>134</v>
      </c>
      <c r="B27" s="217" t="s">
        <v>366</v>
      </c>
      <c r="C27" s="177">
        <v>395</v>
      </c>
      <c r="D27" s="332"/>
      <c r="E27" s="165">
        <v>29.7</v>
      </c>
      <c r="F27" s="165">
        <v>0</v>
      </c>
      <c r="G27" s="275">
        <v>1293.8399999999999</v>
      </c>
      <c r="H27" s="275">
        <v>125.94</v>
      </c>
      <c r="I27" s="212"/>
      <c r="J27" s="276">
        <v>0</v>
      </c>
      <c r="K27" s="271">
        <v>36.69</v>
      </c>
      <c r="L27" s="213"/>
      <c r="M27" s="248">
        <f xml:space="preserve"> E27+F27+G27+H27</f>
        <v>1449.48</v>
      </c>
      <c r="N27" s="248" t="e">
        <f>IF($B$2="mil",1,0.0254)*C27+ M27</f>
        <v>#REF!</v>
      </c>
      <c r="O27" s="212"/>
      <c r="P27" s="172" t="e">
        <f>MAX($P$5:$Q$5)+IF($B$2="mil",1,0.0254)*DDR2Specs!$B$9</f>
        <v>#REF!</v>
      </c>
      <c r="Q27" s="172" t="e">
        <f>MIN($P$5:$Q$5)+IF($B$2="mil",1,0.0254)*DDR2Specs!$C$9</f>
        <v>#REF!</v>
      </c>
      <c r="R27" s="253" t="e">
        <f>IF($N27&lt;$P27,$P27-$N27,"Pass")</f>
        <v>#REF!</v>
      </c>
      <c r="S27" s="254" t="e">
        <f>IF($N27&gt;$Q27,$N27-$Q27,"Pass")</f>
        <v>#REF!</v>
      </c>
      <c r="T27" s="175" t="e">
        <f t="shared" si="7"/>
        <v>#REF!</v>
      </c>
      <c r="U27" s="176" t="e">
        <f t="shared" si="8"/>
        <v>#REF!</v>
      </c>
      <c r="V27" s="176" t="e">
        <f t="shared" si="9"/>
        <v>#REF!</v>
      </c>
      <c r="W27" s="176" t="e">
        <f>IF(AND($M27&gt;=IF($B$2="mil",1,0.0254)*500, $M27&lt;=IF($B$2="mil",1,0.0254)*4500),"Pass",IF($B$2="mil",1,0.0254)*4500-$M27)</f>
        <v>#REF!</v>
      </c>
      <c r="X27" s="176" t="e">
        <f>IF(AND($N27&gt;=IF($B$2="mil",1,0.0254)*500, $N27&lt;=IF($B$2="mil",1,0.0254)*5250),"Pass",IF($B$2="mil",1,0.0254)*5250-$N27)</f>
        <v>#REF!</v>
      </c>
      <c r="Y27" s="176" t="e">
        <f>IF((J27&lt;=IF($B$2="mil",1,0.0254)*1000),"Pass",IF($B$2="mil",1,0.0254)*1000-J27)</f>
        <v>#REF!</v>
      </c>
      <c r="Z27" s="176" t="e">
        <f ca="1">CheckLength2(1150,J27,K27,0)</f>
        <v>#NAME?</v>
      </c>
      <c r="AA27" s="4" t="e">
        <f ca="1">IF(AND(R27="Pass",S27="Pass",T27="Pass",U27="Pass",V27="Pass",W27="Pass",X27="Pass",Y27="Pass",Z27="Pass"),"Pass","Fail")</f>
        <v>#REF!</v>
      </c>
    </row>
    <row r="28" spans="1:50" s="4" customFormat="1" ht="13.5" thickBot="1" x14ac:dyDescent="0.25">
      <c r="A28" s="229" t="s">
        <v>136</v>
      </c>
      <c r="B28" s="230" t="s">
        <v>133</v>
      </c>
      <c r="C28" s="231">
        <v>404.5</v>
      </c>
      <c r="D28" s="332"/>
      <c r="E28" s="281">
        <v>29.7</v>
      </c>
      <c r="F28" s="281">
        <v>0</v>
      </c>
      <c r="G28" s="282">
        <v>1340.09</v>
      </c>
      <c r="H28" s="282">
        <v>58</v>
      </c>
      <c r="I28" s="232"/>
      <c r="J28" s="277">
        <v>0</v>
      </c>
      <c r="K28" s="283">
        <v>103.63</v>
      </c>
      <c r="L28" s="233"/>
      <c r="M28" s="251">
        <f xml:space="preserve"> E28+F28+G28+H28</f>
        <v>1427.79</v>
      </c>
      <c r="N28" s="251" t="e">
        <f>IF($B$2="mil",1,0.0254)*C28+ M28</f>
        <v>#REF!</v>
      </c>
      <c r="O28" s="232"/>
      <c r="P28" s="284" t="e">
        <f>MAX($P$5:$Q$5)+IF($B$2="mil",1,0.0254)*DDR2Specs!$B$9</f>
        <v>#REF!</v>
      </c>
      <c r="Q28" s="284" t="e">
        <f>MIN($P$5:$Q$5)+IF($B$2="mil",1,0.0254)*DDR2Specs!$C$9</f>
        <v>#REF!</v>
      </c>
      <c r="R28" s="255" t="e">
        <f>IF($N28&lt;$P28,$P28-$N28,"Pass")</f>
        <v>#REF!</v>
      </c>
      <c r="S28" s="256" t="e">
        <f>IF($N28&gt;$Q28,$N28-$Q28,"Pass")</f>
        <v>#REF!</v>
      </c>
      <c r="T28" s="175" t="e">
        <f t="shared" si="7"/>
        <v>#REF!</v>
      </c>
      <c r="U28" s="176" t="e">
        <f t="shared" si="8"/>
        <v>#REF!</v>
      </c>
      <c r="V28" s="176" t="e">
        <f t="shared" si="9"/>
        <v>#REF!</v>
      </c>
      <c r="W28" s="234" t="e">
        <f>IF(AND($M28&gt;=IF($B$2="mil",1,0.0254)*500, $M28&lt;=IF($B$2="mil",1,0.0254)*4500),"Pass",IF($B$2="mil",1,0.0254)*4500-$M28)</f>
        <v>#REF!</v>
      </c>
      <c r="X28" s="234" t="e">
        <f>IF(AND($N28&gt;=IF($B$2="mil",1,0.0254)*500, $N28&lt;=IF($B$2="mil",1,0.0254)*5250),"Pass",IF($B$2="mil",1,0.0254)*5250-$N28)</f>
        <v>#REF!</v>
      </c>
      <c r="Y28" s="280" t="e">
        <f>IF((J28&lt;=IF($B$2="mil",1,0.0254)*1000),"Pass",IF($B$2="mil",1,0.0254)*1000-J28)</f>
        <v>#REF!</v>
      </c>
      <c r="Z28" s="176" t="e">
        <f ca="1">CheckLength2(1150,J28,K28,0)</f>
        <v>#NAME?</v>
      </c>
      <c r="AA28" s="4" t="e">
        <f ca="1">IF(AND(R28="Pass",S28="Pass",T28="Pass",U28="Pass",V28="Pass",W28="Pass",X28="Pass",Y28="Pass",Z28="Pass"),"Pass","Fail")</f>
        <v>#REF!</v>
      </c>
    </row>
    <row r="29" spans="1:50" s="2" customFormat="1" x14ac:dyDescent="0.2">
      <c r="A29" s="46"/>
      <c r="B29" s="46"/>
      <c r="C29" s="46"/>
      <c r="D29" s="46"/>
      <c r="E29" s="46"/>
      <c r="F29" s="47"/>
      <c r="G29" s="46"/>
      <c r="H29" s="46"/>
      <c r="I29" s="46"/>
      <c r="J29" s="46"/>
      <c r="K29" s="46"/>
      <c r="L29" s="46"/>
      <c r="M29" s="46"/>
      <c r="N29" s="46"/>
      <c r="O29" s="105"/>
      <c r="P29" s="105"/>
      <c r="Q29" s="105"/>
      <c r="R29" s="105"/>
      <c r="S29" s="105"/>
      <c r="T29" s="105"/>
      <c r="U29" s="106"/>
      <c r="V29" s="105"/>
      <c r="W29" s="99"/>
      <c r="X29" s="105"/>
      <c r="Y29" s="105"/>
      <c r="Z29" s="279"/>
    </row>
    <row r="30" spans="1:50" s="133" customFormat="1" ht="22.5" x14ac:dyDescent="0.2">
      <c r="A30" s="192" t="s">
        <v>79</v>
      </c>
      <c r="B30" s="123" t="s">
        <v>62</v>
      </c>
      <c r="C30" s="193" t="s">
        <v>70</v>
      </c>
      <c r="D30" s="130"/>
      <c r="E30" s="127" t="e">
        <f>"Escape
Length L0
 ["&amp;$B$2&amp;"]"</f>
        <v>#REF!</v>
      </c>
      <c r="F30" s="127" t="e">
        <f>"Breakout
Length L1
["&amp; $B$2&amp;"]"</f>
        <v>#REF!</v>
      </c>
      <c r="G30" s="127" t="e">
        <f>"Main
Length L2
[" &amp;$B$2&amp; " ]"</f>
        <v>#REF!</v>
      </c>
      <c r="H30" s="127" t="e">
        <f>"Breakin
Length S1  
[" &amp;$B$2&amp;"]"</f>
        <v>#REF!</v>
      </c>
      <c r="I30" s="129"/>
      <c r="J30" s="129" t="e">
        <f>"Via-to-via (SODIMM-to-Rt) L3 ["&amp;$B$2&amp;"]"</f>
        <v>#REF!</v>
      </c>
      <c r="K30" s="123" t="e">
        <f>"Via-to-Rt
L4 ["&amp;$B$2&amp;"]"</f>
        <v>#REF!</v>
      </c>
      <c r="L30" s="129"/>
      <c r="M30" s="129" t="e">
        <f>"Break-in to Rs L5 ["&amp;$B$2&amp;"]"</f>
        <v>#REF!</v>
      </c>
      <c r="N30" s="123" t="e">
        <f>"Rs Length ["&amp;$B$2&amp;"]"</f>
        <v>#REF!</v>
      </c>
      <c r="O30" s="130"/>
      <c r="P30" s="123" t="e">
        <f>"Breakout from Rs L6 ["&amp;$B$2&amp;"]"</f>
        <v>#REF!</v>
      </c>
      <c r="Q30" s="123" t="e">
        <f>"Trace L7 ["&amp;$B$2&amp;"]"</f>
        <v>#REF!</v>
      </c>
      <c r="R30" s="123" t="e">
        <f>"Trace L8-1 ["&amp;$B$2&amp;"]"</f>
        <v>#REF!</v>
      </c>
      <c r="S30" s="123" t="e">
        <f>"Trace L9-1 ["&amp;$B$2&amp;"]"</f>
        <v>#REF!</v>
      </c>
      <c r="T30" s="123" t="e">
        <f>"Trace L10-1 to U1 ["&amp;$B$2&amp;"]"</f>
        <v>#REF!</v>
      </c>
      <c r="U30" s="123" t="e">
        <f>"Trace L10-2 to U5 ["&amp;$B$2&amp;"]"</f>
        <v>#REF!</v>
      </c>
      <c r="V30" s="123" t="e">
        <f>"Total MB Length to U1 (L0+L1+L2+S1+L5+Rs+L6+L7+L8-1+L9-1+L10-1) ["&amp;$B$2&amp;"]"</f>
        <v>#REF!</v>
      </c>
      <c r="W30" s="123" t="e">
        <f>"Total Pad to Pin U1 (P1+L0+L1+L2+S1+L5+Rs+L6+L7+L8-1+L9-1+L10-1) ["&amp;$B$2&amp;"]"</f>
        <v>#REF!</v>
      </c>
      <c r="X30" s="130" t="e">
        <f>"Target Min Length to U1
["&amp;$B$2&amp;"]"</f>
        <v>#REF!</v>
      </c>
      <c r="Y30" s="129" t="e">
        <f>"Target Max Length  to U1 
["&amp;$B$2&amp;"]"</f>
        <v>#REF!</v>
      </c>
      <c r="Z30" s="131" t="e">
        <f>"Routed Too Short  to U1 [" &amp;$B$2&amp;"]"</f>
        <v>#REF!</v>
      </c>
      <c r="AA30" s="130" t="e">
        <f>"Routed Too Long  to U1 [" &amp;$B$2&amp;"]"</f>
        <v>#REF!</v>
      </c>
      <c r="AB30" s="123" t="e">
        <f>"Total MB Length to U5 (L0+L1+L2+S1+L5+Rs+L6+L7+L8-1+L9-1+L10-2) ["&amp;$B$2&amp;"]"</f>
        <v>#REF!</v>
      </c>
      <c r="AC30" s="123" t="e">
        <f>"Total Pad to Pin U5 (P1+L0+L1+L2+S1+L5+Rs+L6+L7+L8-1+L9-1+L10-2) ["&amp;$B$2&amp;"]"</f>
        <v>#REF!</v>
      </c>
      <c r="AD30" s="130" t="e">
        <f>"Target Min Length to U5
["&amp;$B$2&amp;"]"</f>
        <v>#REF!</v>
      </c>
      <c r="AE30" s="129" t="e">
        <f>"Target Max Length  to U5 
["&amp;$B$2&amp;"]"</f>
        <v>#REF!</v>
      </c>
      <c r="AF30" s="131" t="e">
        <f>"Routed Too Short  to U5 [" &amp;$B$2&amp;"]"</f>
        <v>#REF!</v>
      </c>
      <c r="AG30" s="130" t="e">
        <f>"Routed Too Long  to U5 [" &amp;$B$2&amp;"]"</f>
        <v>#REF!</v>
      </c>
      <c r="AH30" s="132" t="e">
        <f>"L0 Length Test (&lt;=" &amp; IF($B$2="mil",1,0.0254)*35&amp;$B$2&amp;")"</f>
        <v>#REF!</v>
      </c>
      <c r="AI30" s="132" t="e">
        <f>"L1 Length Test (&lt;=" &amp; IF($B$2="mil",1,0.0254)*500&amp;$B$2&amp;")"</f>
        <v>#REF!</v>
      </c>
      <c r="AJ30" s="132" t="e">
        <f>"S1 Length Test (&lt;=" &amp; IF($B$2="mil",1,0.0254)*500 &amp;$B$2&amp;")"</f>
        <v>#REF!</v>
      </c>
      <c r="AK30" s="132" t="e">
        <f>"L3 Length Test (&lt;=" &amp; IF($B$2="mil",1,0.0254)*1000&amp;$B$2&amp;")"</f>
        <v>#REF!</v>
      </c>
      <c r="AL30" s="132" t="e">
        <f>"L4 Length Test (&lt;=" &amp; IF($B$2="mil",1,0.0254)*150&amp;$B$2&amp;") or (L3+L4&lt;= "&amp;IF($B$2="mil",1,0.0254)*1150&amp;$B$2&amp;")"</f>
        <v>#REF!</v>
      </c>
      <c r="AM30" s="132" t="e">
        <f>"L5 Length Test (&lt;=" &amp; IF($B$2="mil",1,0.0254)*125&amp;$B$2&amp;")"</f>
        <v>#REF!</v>
      </c>
      <c r="AN30" s="132" t="e">
        <f>"L6 Length Test (&lt;=" &amp; IF($B$2="mil",1,0.0254)*125&amp;$B$2&amp;")"</f>
        <v>#REF!</v>
      </c>
      <c r="AO30" s="132" t="e">
        <f>"L7 Length Test (&lt;=" &amp; IF($B$2="mil",1,0.0254)*1000&amp;$B$2&amp;")"</f>
        <v>#REF!</v>
      </c>
      <c r="AP30" s="132" t="e">
        <f>"L8-1 Length Test (&lt;=" &amp; IF($B$2="mil",1,0.0254)*750&amp;$B$2&amp;")"</f>
        <v>#REF!</v>
      </c>
      <c r="AQ30" s="132" t="s">
        <v>261</v>
      </c>
      <c r="AR30" s="132" t="e">
        <f>"L9-1 Length Test (&lt;=" &amp; IF($B$2="mil",1,0.0254)*1250&amp;$B$2&amp;")"</f>
        <v>#REF!</v>
      </c>
      <c r="AS30" s="132" t="e">
        <f>"Diff L9-1 &amp; L9-2 (&lt;="&amp;IF($B$2="mil",1,0.0254)*50&amp;$B$2&amp;")"</f>
        <v>#REF!</v>
      </c>
      <c r="AT30" s="132" t="e">
        <f>"L10-1 Length Test (&lt;=" &amp; IF($B$2="mil",1,0.0254)*150&amp;$B$2&amp;") or (L9-1+L10-1&lt;= "&amp;IF($B$2="mil",1,0.0254)*1400&amp;$B$2&amp;")"</f>
        <v>#REF!</v>
      </c>
      <c r="AU30" s="132" t="e">
        <f>"L10-2 Length Test (&lt;=" &amp; IF($B$2="mil",1,0.0254)*150&amp;$B$2&amp;") or (L9-1+L10-2&lt;= "&amp;IF($B$2="mil",1,0.0254)*1400&amp;$B$2&amp;")"</f>
        <v>#REF!</v>
      </c>
      <c r="AV30" s="129" t="e">
        <f>"Total Length to U1 (L0+L1+L2+S1+L5+Rs+L6+L7+L8-1+L9-1+L10-1) Test
 ("&amp;IF($B$2="mil",1,0.0254)*500&amp;"-"&amp;IF($B$2="mil",1,0.0254)*7500&amp;IF($B$2="mil","mil","mm")&amp;")"</f>
        <v>#REF!</v>
      </c>
      <c r="AW30" s="129" t="e">
        <f>"Total Length to U1 (P1+L0+L1+L2+S1+L5+Rs+L6+L7+L8-1+L9-1+L10-1) Test
 (&lt;="&amp;IF($B$2="mil",1,25.4)*8000&amp;IF($B$2="mil","mil","mm")&amp;")"</f>
        <v>#REF!</v>
      </c>
      <c r="AX30" s="4"/>
    </row>
    <row r="31" spans="1:50" s="4" customFormat="1" ht="11.25" x14ac:dyDescent="0.2">
      <c r="A31" s="134" t="s">
        <v>258</v>
      </c>
      <c r="B31" s="134"/>
      <c r="C31" s="134"/>
      <c r="D31" s="135"/>
      <c r="E31" s="135"/>
      <c r="F31" s="194"/>
      <c r="G31" s="135"/>
      <c r="H31" s="135"/>
      <c r="I31" s="135"/>
      <c r="J31" s="135"/>
      <c r="K31" s="135"/>
      <c r="L31" s="135"/>
      <c r="M31" s="135"/>
      <c r="N31" s="135"/>
      <c r="O31" s="195"/>
      <c r="P31" s="135"/>
      <c r="Q31" s="135"/>
      <c r="R31" s="135"/>
      <c r="S31" s="135"/>
      <c r="T31" s="135"/>
      <c r="U31" s="13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87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195"/>
      <c r="AV31" s="195"/>
      <c r="AW31" s="195"/>
    </row>
    <row r="32" spans="1:50" s="4" customFormat="1" ht="11.25" x14ac:dyDescent="0.2">
      <c r="A32" s="235" t="s">
        <v>262</v>
      </c>
      <c r="B32" s="141"/>
      <c r="C32" s="141"/>
      <c r="D32" s="142"/>
      <c r="E32" s="143"/>
      <c r="F32" s="196"/>
      <c r="G32" s="143"/>
      <c r="H32" s="143"/>
      <c r="I32" s="144"/>
      <c r="J32" s="144"/>
      <c r="K32" s="143"/>
      <c r="L32" s="144"/>
      <c r="M32" s="144"/>
      <c r="N32" s="143"/>
      <c r="O32" s="147"/>
      <c r="P32" s="143"/>
      <c r="Q32" s="143"/>
      <c r="R32" s="143"/>
      <c r="S32" s="143"/>
      <c r="T32" s="143"/>
      <c r="U32" s="143"/>
      <c r="V32" s="143"/>
      <c r="W32" s="340" t="s">
        <v>272</v>
      </c>
      <c r="X32" s="151" t="e">
        <f>MIN('DDR2 Clocks - 4L'!$O$5:$O$6)</f>
        <v>#REF!</v>
      </c>
      <c r="Y32" s="209" t="e">
        <f>MAX('DDR2 Clocks - 4L'!$O$5:$O$6)</f>
        <v>#REF!</v>
      </c>
      <c r="Z32" s="151"/>
      <c r="AA32" s="149"/>
      <c r="AB32" s="197"/>
      <c r="AC32" s="340" t="s">
        <v>332</v>
      </c>
      <c r="AD32" s="151" t="e">
        <f>MIN('DDR2 Clocks - 4L'!$O$7:$O$8)</f>
        <v>#REF!</v>
      </c>
      <c r="AE32" s="209" t="e">
        <f>MAX('DDR2 Clocks - 4L'!$O$7:$O$8)</f>
        <v>#REF!</v>
      </c>
      <c r="AF32" s="197"/>
      <c r="AG32" s="197"/>
      <c r="AH32" s="197"/>
      <c r="AI32" s="197"/>
      <c r="AJ32" s="153"/>
      <c r="AK32" s="153"/>
      <c r="AL32" s="153"/>
      <c r="AM32" s="153"/>
      <c r="AN32" s="153"/>
      <c r="AO32" s="153"/>
      <c r="AP32" s="153"/>
      <c r="AQ32" s="153"/>
      <c r="AR32" s="153"/>
      <c r="AS32" s="153"/>
      <c r="AT32" s="153"/>
      <c r="AU32" s="153"/>
      <c r="AV32" s="153"/>
      <c r="AW32" s="153"/>
    </row>
    <row r="33" spans="1:51" s="4" customFormat="1" ht="11.25" x14ac:dyDescent="0.2">
      <c r="A33" s="180" t="s">
        <v>277</v>
      </c>
      <c r="B33" s="134"/>
      <c r="C33" s="134"/>
      <c r="D33" s="155"/>
      <c r="E33" s="156"/>
      <c r="F33" s="198"/>
      <c r="G33" s="156"/>
      <c r="H33" s="156"/>
      <c r="I33" s="156"/>
      <c r="J33" s="157"/>
      <c r="K33" s="157"/>
      <c r="L33" s="156"/>
      <c r="M33" s="157"/>
      <c r="N33" s="157"/>
      <c r="O33" s="288"/>
      <c r="P33" s="157"/>
      <c r="Q33" s="157"/>
      <c r="R33" s="157"/>
      <c r="S33" s="157"/>
      <c r="T33" s="157"/>
      <c r="U33" s="157"/>
      <c r="V33" s="158"/>
      <c r="W33" s="308"/>
      <c r="X33" s="159"/>
      <c r="Y33" s="160"/>
      <c r="Z33" s="160"/>
      <c r="AA33" s="159"/>
      <c r="AB33" s="159"/>
      <c r="AC33" s="159"/>
      <c r="AD33" s="159"/>
      <c r="AE33" s="159"/>
      <c r="AF33" s="159"/>
      <c r="AG33" s="159"/>
      <c r="AH33" s="187"/>
      <c r="AI33" s="159"/>
      <c r="AJ33" s="159"/>
      <c r="AK33" s="159"/>
      <c r="AL33" s="159"/>
      <c r="AM33" s="159"/>
      <c r="AN33" s="159"/>
      <c r="AO33" s="159"/>
      <c r="AP33" s="159"/>
      <c r="AQ33" s="159"/>
      <c r="AR33" s="159"/>
      <c r="AS33" s="159"/>
      <c r="AT33" s="159"/>
      <c r="AU33" s="159"/>
      <c r="AV33" s="159"/>
      <c r="AW33" s="159"/>
    </row>
    <row r="34" spans="1:51" s="4" customFormat="1" x14ac:dyDescent="0.2">
      <c r="A34" s="161" t="s">
        <v>244</v>
      </c>
      <c r="B34" s="162" t="s">
        <v>350</v>
      </c>
      <c r="C34" s="163">
        <v>793.6</v>
      </c>
      <c r="D34" s="164"/>
      <c r="E34" s="199">
        <v>29.7</v>
      </c>
      <c r="F34" s="276">
        <v>0</v>
      </c>
      <c r="G34" s="270">
        <v>2264.34</v>
      </c>
      <c r="H34" s="293">
        <v>0</v>
      </c>
      <c r="I34" s="295"/>
      <c r="J34" s="294">
        <v>0</v>
      </c>
      <c r="K34" s="273">
        <v>42.88</v>
      </c>
      <c r="L34" s="296"/>
      <c r="M34" s="273">
        <v>42.88</v>
      </c>
      <c r="N34" s="297">
        <v>40</v>
      </c>
      <c r="O34" s="295"/>
      <c r="P34" s="273">
        <v>39.229999999999997</v>
      </c>
      <c r="Q34" s="297">
        <v>700</v>
      </c>
      <c r="R34" s="302">
        <v>400</v>
      </c>
      <c r="S34" s="273">
        <v>565.69000000000005</v>
      </c>
      <c r="T34" s="273">
        <v>100.03</v>
      </c>
      <c r="U34" s="273">
        <v>100.03</v>
      </c>
      <c r="V34" s="287">
        <f>SUM($E34:$H34,$M34,$N34,$P34,$Q34,$S34,$R34,$T34)</f>
        <v>4181.87</v>
      </c>
      <c r="W34" s="172">
        <f t="shared" ref="W34:W47" si="12">$V34+$C34</f>
        <v>4975.47</v>
      </c>
      <c r="X34" s="172" t="e">
        <f>$Y$32 + IF($B$2="mil",1,0.0254)*DDR2Specs!$E$9</f>
        <v>#REF!</v>
      </c>
      <c r="Y34" s="172" t="e">
        <f>$X$32 + IF($B$2="mil",1,0.0254)*DDR2Specs!$F$9</f>
        <v>#REF!</v>
      </c>
      <c r="Z34" s="173" t="e">
        <f>IF($W34&lt;$X34,$X34-$W34,"Pass")</f>
        <v>#REF!</v>
      </c>
      <c r="AA34" s="174" t="e">
        <f>IF($W34&gt;$Y34,$W34-$Y34,"Pass")</f>
        <v>#REF!</v>
      </c>
      <c r="AB34" s="287">
        <f>SUM($E34:$H34,$M34,$N34,$P34,$Q34,$S34,$R34,$U34)</f>
        <v>4181.87</v>
      </c>
      <c r="AC34" s="172">
        <f>$AB34+$C34</f>
        <v>4975.47</v>
      </c>
      <c r="AD34" s="172" t="e">
        <f>$AE$32 + IF($B$2="mil",1,0.0254)*DDR2Specs!$E$9</f>
        <v>#REF!</v>
      </c>
      <c r="AE34" s="172" t="e">
        <f>$AD$32 + IF($B$2="mil",1,0.0254)*DDR2Specs!$F$9</f>
        <v>#REF!</v>
      </c>
      <c r="AF34" s="173" t="e">
        <f>IF($AC34&lt;$AD34,$AD34-$AC34,"Pass")</f>
        <v>#REF!</v>
      </c>
      <c r="AG34" s="174" t="e">
        <f>IF($AC34&gt;$AE34,$AC34-$AE34,"Pass")</f>
        <v>#REF!</v>
      </c>
      <c r="AH34" s="175" t="e">
        <f>IF($E34&lt;=IF($B$2="mil",1,0.0254)*35,"Pass",IF($B$2="mil",1,0.0254)*35-$E34)</f>
        <v>#REF!</v>
      </c>
      <c r="AI34" s="176" t="e">
        <f>IF($F34&lt;=IF($B$2="mil",1,0.0254)*500,"Pass",IF($B$2="mil",1,0.0254)*500-$F34)</f>
        <v>#REF!</v>
      </c>
      <c r="AJ34" s="176" t="e">
        <f>IF($H34&lt;=IF($B$2="mil",1,0.0254)*500,"Pass",IF($B$2="mil",1,0.0254)*500-$H34)</f>
        <v>#REF!</v>
      </c>
      <c r="AK34" s="176" t="e">
        <f>IF($J34&lt;=IF($B$2="mil",1,0.0254)*1000,"Pass",IF($B$2="mil",1,0.0254)*1000-$J34)</f>
        <v>#REF!</v>
      </c>
      <c r="AL34" s="176" t="e">
        <f ca="1">CheckLength2(1150,J34,K34,0)</f>
        <v>#NAME?</v>
      </c>
      <c r="AM34" s="176" t="e">
        <f>IF(M34&lt;=IF($B$2="mil",1,0.0254)*125,"Pass",IF($B$2="mil",1,0.0254)*125-M34)</f>
        <v>#REF!</v>
      </c>
      <c r="AN34" s="176" t="e">
        <f>IF(P34&lt;=IF($B$2="mil",1,0.0254)*125,"Pass",IF($B$2="mil",1,0.0254)*125-P34)</f>
        <v>#REF!</v>
      </c>
      <c r="AO34" s="176" t="e">
        <f>IF(Q34&lt;=IF($B$2="mil",1,0.0254)*1000,"Pass",IF($B$2="mil",1,0.0254)*1000-Q34)</f>
        <v>#REF!</v>
      </c>
      <c r="AP34" s="176" t="e">
        <f>IF(R34&lt;=IF($B$2="mil",1,0.0254)*750,"Pass",IF($B$2="mil",1,0.0254)*750-R34)</f>
        <v>#REF!</v>
      </c>
      <c r="AQ34" s="176" t="e">
        <f>IF(MAX(R34,S86)-MIN(R34,S86)&lt;=IF($B$2="mil",1,0.0254)*50,"Pass",MAX(R34,S86)-MIN(R34,S86)-IF($B$2="mil",1,0.0254)*50)</f>
        <v>#REF!</v>
      </c>
      <c r="AR34" s="176" t="e">
        <f>IF($S34&lt;=IF($B$2="mil",1,0.0254)*1250,"Pass",IF($B$2="mil",1,0.0254)*1250-$S34)</f>
        <v>#REF!</v>
      </c>
      <c r="AS34" s="176" t="e">
        <f>IF(MAX(S34,S112)-MIN(S34,S112)&lt;=IF($B$2="mil",1,0.0254)*50,"Pass",MAX(S34,S112)-MIN(S34,S112)-IF($B$2="mil",1,0.0254)*50)</f>
        <v>#REF!</v>
      </c>
      <c r="AT34" s="176" t="e">
        <f ca="1">CheckLength2(1400,S34,T34,0)</f>
        <v>#NAME?</v>
      </c>
      <c r="AU34" s="176" t="e">
        <f ca="1">CheckLength2(1400,S34,U34,0)</f>
        <v>#NAME?</v>
      </c>
      <c r="AV34" s="176" t="e">
        <f t="shared" ref="AV34:AV47" si="13">IF(AND($V34&gt;=IF($B$2="mil",1,0.0254)*500, $V34&lt;=IF($B$2="mil",1,0.0254)*7500),"Pass",IF($B$2="mil",1,0.0254)*7500-$V34)</f>
        <v>#REF!</v>
      </c>
      <c r="AW34" s="176" t="e">
        <f t="shared" ref="AW34:AW47" si="14">IF(AND($W34&gt;=IF($B$2="mil",1,0.0254)*500, $W34&lt;=IF($B$2="mil",1,0.0254)*8000),"Pass",IF($B$2="mil",1,0.0254)*8000-$W34)</f>
        <v>#REF!</v>
      </c>
      <c r="AX34" s="4" t="e">
        <f ca="1">IF(AND(Z34="Pass",AA34="Pass",AH34="Pass",AI34="Pass",AJ34="Pass",AK34="Pass",AL34="Pass",AM34="Pass",AN34="Pass",AO34="Pass",AP34="Pass",AQ34="Pass",AR34="Pass",AS34="Pass",AT34="Pass",AV34="Pass",AW34="Pass"),"Pass","Fail")</f>
        <v>#REF!</v>
      </c>
      <c r="AY34" s="4" t="e">
        <f ca="1">IF(AND(AX46="Pass",AX47="Pass",AX49="Pass",AX50="Pass",AX51="Pass",AX53="Pass",AX54="Pass",AX55="Pass"),"Pass","Fail")</f>
        <v>#REF!</v>
      </c>
    </row>
    <row r="35" spans="1:51" s="4" customFormat="1" x14ac:dyDescent="0.2">
      <c r="A35" s="214" t="s">
        <v>87</v>
      </c>
      <c r="B35" s="217" t="s">
        <v>351</v>
      </c>
      <c r="C35" s="177">
        <v>670.3</v>
      </c>
      <c r="D35" s="164"/>
      <c r="E35" s="199">
        <v>29.7</v>
      </c>
      <c r="F35" s="276">
        <v>0</v>
      </c>
      <c r="G35" s="273">
        <v>2001.91</v>
      </c>
      <c r="H35" s="293">
        <v>0</v>
      </c>
      <c r="I35" s="295"/>
      <c r="J35" s="294">
        <v>0</v>
      </c>
      <c r="K35" s="273">
        <v>32.5</v>
      </c>
      <c r="L35" s="296"/>
      <c r="M35" s="273">
        <v>32.5</v>
      </c>
      <c r="N35" s="297">
        <v>40</v>
      </c>
      <c r="O35" s="295"/>
      <c r="P35" s="273">
        <v>32.5</v>
      </c>
      <c r="Q35" s="297">
        <v>700</v>
      </c>
      <c r="R35" s="302">
        <v>500</v>
      </c>
      <c r="S35" s="273">
        <v>587.88</v>
      </c>
      <c r="T35" s="273">
        <v>85.04</v>
      </c>
      <c r="U35" s="273">
        <v>85.04</v>
      </c>
      <c r="V35" s="287">
        <f t="shared" ref="V35:V47" si="15">SUM($E35:$H35,$M35,$N35,$P35,$Q35,$S35,$R35,$T35)</f>
        <v>4009.53</v>
      </c>
      <c r="W35" s="172">
        <f t="shared" si="12"/>
        <v>4679.83</v>
      </c>
      <c r="X35" s="172" t="e">
        <f>$Y$32 + IF($B$2="mil",1,0.0254)*DDR2Specs!$E$9</f>
        <v>#REF!</v>
      </c>
      <c r="Y35" s="172" t="e">
        <f>$X$32 + IF($B$2="mil",1,0.0254)*DDR2Specs!$F$9</f>
        <v>#REF!</v>
      </c>
      <c r="Z35" s="173" t="e">
        <f t="shared" ref="Z35:Z47" si="16">IF($W35&lt;$X35,$X35-$W35,"Pass")</f>
        <v>#REF!</v>
      </c>
      <c r="AA35" s="174" t="e">
        <f t="shared" ref="AA35:AA45" si="17">IF($W35&gt;$Y35,$W35-$Y35,"Pass")</f>
        <v>#REF!</v>
      </c>
      <c r="AB35" s="287">
        <f t="shared" ref="AB35:AB55" si="18">SUM($E35:$H35,$M35,$N35,$P35,$Q35,$S35,$R35,$U35)</f>
        <v>4009.53</v>
      </c>
      <c r="AC35" s="172">
        <f t="shared" ref="AC35:AC55" si="19">$AB35+$C35</f>
        <v>4679.83</v>
      </c>
      <c r="AD35" s="172" t="e">
        <f>$AE$32 + IF($B$2="mil",1,0.0254)*DDR2Specs!$E$9</f>
        <v>#REF!</v>
      </c>
      <c r="AE35" s="172" t="e">
        <f>$AD$32 + IF($B$2="mil",1,0.0254)*DDR2Specs!$F$9</f>
        <v>#REF!</v>
      </c>
      <c r="AF35" s="173" t="e">
        <f t="shared" ref="AF35:AF55" si="20">IF($AC35&lt;$AD35,$AD35-$AC35,"Pass")</f>
        <v>#REF!</v>
      </c>
      <c r="AG35" s="174" t="e">
        <f t="shared" ref="AG35:AG55" si="21">IF($AC35&gt;$AE35,$AC35-$AE35,"Pass")</f>
        <v>#REF!</v>
      </c>
      <c r="AH35" s="175" t="e">
        <f t="shared" ref="AH35:AH55" si="22">IF($E35&lt;=IF($B$2="mil",1,0.0254)*35,"Pass",IF($B$2="mil",1,0.0254)*35-$E35)</f>
        <v>#REF!</v>
      </c>
      <c r="AI35" s="176" t="e">
        <f t="shared" ref="AI35:AI55" si="23">IF($F35&lt;=IF($B$2="mil",1,0.0254)*500,"Pass",IF($B$2="mil",1,0.0254)*500-$F35)</f>
        <v>#REF!</v>
      </c>
      <c r="AJ35" s="176" t="e">
        <f t="shared" ref="AJ35:AJ55" si="24">IF($H35&lt;=IF($B$2="mil",1,0.0254)*500,"Pass",IF($B$2="mil",1,0.0254)*500-$H35)</f>
        <v>#REF!</v>
      </c>
      <c r="AK35" s="176" t="e">
        <f t="shared" ref="AK35:AK55" si="25">IF($J35&lt;=IF($B$2="mil",1,0.0254)*1000,"Pass",IF($B$2="mil",1,0.0254)*1000-$J35)</f>
        <v>#REF!</v>
      </c>
      <c r="AL35" s="176" t="e">
        <f t="shared" ref="AL35:AL55" ca="1" si="26">CheckLength2(1150,J35,K35,0)</f>
        <v>#NAME?</v>
      </c>
      <c r="AM35" s="176" t="e">
        <f t="shared" ref="AM35:AM47" si="27">IF(M35&lt;=IF($B$2="mil",1,0.0254)*125,"Pass",IF($B$2="mil",1,0.0254)*125-M35)</f>
        <v>#REF!</v>
      </c>
      <c r="AN35" s="176" t="e">
        <f t="shared" ref="AN35:AN47" si="28">IF(P35&lt;=IF($B$2="mil",1,0.0254)*125,"Pass",IF($B$2="mil",1,0.0254)*125-P35)</f>
        <v>#REF!</v>
      </c>
      <c r="AO35" s="176" t="e">
        <f t="shared" ref="AO35:AO47" si="29">IF(Q35&lt;=IF($B$2="mil",1,0.0254)*1000,"Pass",IF($B$2="mil",1,0.0254)*1000-Q35)</f>
        <v>#REF!</v>
      </c>
      <c r="AP35" s="176" t="e">
        <f t="shared" ref="AP35:AP47" si="30">IF(R35&lt;=IF($B$2="mil",1,0.0254)*750,"Pass",IF($B$2="mil",1,0.0254)*750-R35)</f>
        <v>#REF!</v>
      </c>
      <c r="AQ35" s="176" t="e">
        <f t="shared" ref="AQ35:AQ47" si="31">IF(MAX(R35,S87)-MIN(R35,S87)&lt;=IF($B$2="mil",1,0.0254)*50,"Pass",MAX(R35,S87)-MIN(R35,S87)-IF($B$2="mil",1,0.0254)*50)</f>
        <v>#REF!</v>
      </c>
      <c r="AR35" s="176" t="e">
        <f t="shared" ref="AR35:AR55" si="32">IF($S35&lt;=IF($B$2="mil",1,0.0254)*1250,"Pass",IF($B$2="mil",1,0.0254)*1250-$S35)</f>
        <v>#REF!</v>
      </c>
      <c r="AS35" s="176" t="e">
        <f t="shared" ref="AS35:AS47" si="33">IF(MAX(S35,S113)-MIN(S35,S113)&lt;=IF($B$2="mil",1,0.0254)*50,"Pass",MAX(S35,S113)-MIN(S35,S113)-IF($B$2="mil",1,0.0254)*50)</f>
        <v>#REF!</v>
      </c>
      <c r="AT35" s="176" t="e">
        <f t="shared" ref="AT35:AT47" ca="1" si="34">CheckLength2(1400,S35,T35,0)</f>
        <v>#NAME?</v>
      </c>
      <c r="AU35" s="176" t="e">
        <f t="shared" ref="AU35:AU47" ca="1" si="35">CheckLength2(1400,S35,U35,0)</f>
        <v>#NAME?</v>
      </c>
      <c r="AV35" s="176" t="e">
        <f t="shared" si="13"/>
        <v>#REF!</v>
      </c>
      <c r="AW35" s="176" t="e">
        <f t="shared" si="14"/>
        <v>#REF!</v>
      </c>
      <c r="AX35" s="4" t="e">
        <f t="shared" ref="AX35:AX47" ca="1" si="36">IF(AND(Z35="Pass",AA35="Pass",AH35="Pass",AI35="Pass",AJ35="Pass",AK35="Pass",AL35="Pass",AM35="Pass",AN35="Pass",AO35="Pass",AP35="Pass",AQ35="Pass",AR35="Pass",AS35="Pass",AT35="Pass",AV35="Pass",AW35="Pass"),"Pass","Fail")</f>
        <v>#REF!</v>
      </c>
      <c r="AY35" s="4" t="e">
        <f ca="1">IF(AND(AX35="Pass",AX36="Pass",AX37="Pass",AX38="Pass",AX39="Pass",AX40="Pass",AX41="Pass",AX42="Pass",AX43="Pass",AX44="Pass",AX45="Pass",AX34="Pass"),"Pass","Fail")</f>
        <v>#REF!</v>
      </c>
    </row>
    <row r="36" spans="1:51" s="4" customFormat="1" x14ac:dyDescent="0.2">
      <c r="A36" s="214" t="s">
        <v>88</v>
      </c>
      <c r="B36" s="217" t="s">
        <v>352</v>
      </c>
      <c r="C36" s="177">
        <v>586.6</v>
      </c>
      <c r="D36" s="164"/>
      <c r="E36" s="199">
        <v>29.7</v>
      </c>
      <c r="F36" s="276">
        <v>0</v>
      </c>
      <c r="G36" s="273">
        <v>1907.19</v>
      </c>
      <c r="H36" s="293">
        <v>0</v>
      </c>
      <c r="I36" s="295"/>
      <c r="J36" s="294">
        <v>0</v>
      </c>
      <c r="K36" s="273">
        <v>41.64</v>
      </c>
      <c r="L36" s="296"/>
      <c r="M36" s="273">
        <v>41.64</v>
      </c>
      <c r="N36" s="297">
        <v>40</v>
      </c>
      <c r="O36" s="295"/>
      <c r="P36" s="273">
        <v>38.909999999999997</v>
      </c>
      <c r="Q36" s="297">
        <v>700</v>
      </c>
      <c r="R36" s="302">
        <v>500</v>
      </c>
      <c r="S36" s="273">
        <v>565.69000000000005</v>
      </c>
      <c r="T36" s="273">
        <v>99.56</v>
      </c>
      <c r="U36" s="273">
        <v>99.56</v>
      </c>
      <c r="V36" s="287">
        <f t="shared" si="15"/>
        <v>3922.69</v>
      </c>
      <c r="W36" s="172">
        <f t="shared" si="12"/>
        <v>4509.29</v>
      </c>
      <c r="X36" s="172" t="e">
        <f>$Y$32 + IF($B$2="mil",1,0.0254)*DDR2Specs!$E$9</f>
        <v>#REF!</v>
      </c>
      <c r="Y36" s="172" t="e">
        <f>$X$32 + IF($B$2="mil",1,0.0254)*DDR2Specs!$F$9</f>
        <v>#REF!</v>
      </c>
      <c r="Z36" s="173" t="e">
        <f t="shared" si="16"/>
        <v>#REF!</v>
      </c>
      <c r="AA36" s="174" t="e">
        <f t="shared" si="17"/>
        <v>#REF!</v>
      </c>
      <c r="AB36" s="287">
        <f t="shared" si="18"/>
        <v>3922.69</v>
      </c>
      <c r="AC36" s="172">
        <f t="shared" si="19"/>
        <v>4509.29</v>
      </c>
      <c r="AD36" s="172" t="e">
        <f>$AE$32 + IF($B$2="mil",1,0.0254)*DDR2Specs!$E$9</f>
        <v>#REF!</v>
      </c>
      <c r="AE36" s="172" t="e">
        <f>$AD$32 + IF($B$2="mil",1,0.0254)*DDR2Specs!$F$9</f>
        <v>#REF!</v>
      </c>
      <c r="AF36" s="173" t="e">
        <f t="shared" si="20"/>
        <v>#REF!</v>
      </c>
      <c r="AG36" s="174" t="e">
        <f t="shared" si="21"/>
        <v>#REF!</v>
      </c>
      <c r="AH36" s="175" t="e">
        <f t="shared" si="22"/>
        <v>#REF!</v>
      </c>
      <c r="AI36" s="176" t="e">
        <f t="shared" si="23"/>
        <v>#REF!</v>
      </c>
      <c r="AJ36" s="176" t="e">
        <f t="shared" si="24"/>
        <v>#REF!</v>
      </c>
      <c r="AK36" s="176" t="e">
        <f t="shared" si="25"/>
        <v>#REF!</v>
      </c>
      <c r="AL36" s="176" t="e">
        <f t="shared" ca="1" si="26"/>
        <v>#NAME?</v>
      </c>
      <c r="AM36" s="176" t="e">
        <f t="shared" si="27"/>
        <v>#REF!</v>
      </c>
      <c r="AN36" s="176" t="e">
        <f t="shared" si="28"/>
        <v>#REF!</v>
      </c>
      <c r="AO36" s="176" t="e">
        <f t="shared" si="29"/>
        <v>#REF!</v>
      </c>
      <c r="AP36" s="176" t="e">
        <f t="shared" si="30"/>
        <v>#REF!</v>
      </c>
      <c r="AQ36" s="176" t="e">
        <f t="shared" si="31"/>
        <v>#REF!</v>
      </c>
      <c r="AR36" s="176" t="e">
        <f t="shared" si="32"/>
        <v>#REF!</v>
      </c>
      <c r="AS36" s="176" t="e">
        <f t="shared" si="33"/>
        <v>#REF!</v>
      </c>
      <c r="AT36" s="176" t="e">
        <f t="shared" ca="1" si="34"/>
        <v>#NAME?</v>
      </c>
      <c r="AU36" s="176" t="e">
        <f t="shared" ca="1" si="35"/>
        <v>#NAME?</v>
      </c>
      <c r="AV36" s="176" t="e">
        <f t="shared" si="13"/>
        <v>#REF!</v>
      </c>
      <c r="AW36" s="176" t="e">
        <f t="shared" si="14"/>
        <v>#REF!</v>
      </c>
      <c r="AX36" s="4" t="e">
        <f t="shared" ca="1" si="36"/>
        <v>#REF!</v>
      </c>
    </row>
    <row r="37" spans="1:51" s="4" customFormat="1" x14ac:dyDescent="0.2">
      <c r="A37" s="214" t="s">
        <v>89</v>
      </c>
      <c r="B37" s="217" t="s">
        <v>353</v>
      </c>
      <c r="C37" s="177">
        <v>984.7</v>
      </c>
      <c r="D37" s="164"/>
      <c r="E37" s="199">
        <v>29.7</v>
      </c>
      <c r="F37" s="276">
        <v>0</v>
      </c>
      <c r="G37" s="273">
        <v>2159.11</v>
      </c>
      <c r="H37" s="293">
        <v>0</v>
      </c>
      <c r="I37" s="295"/>
      <c r="J37" s="294">
        <v>0</v>
      </c>
      <c r="K37" s="273">
        <v>41.03</v>
      </c>
      <c r="L37" s="296"/>
      <c r="M37" s="273">
        <v>41.03</v>
      </c>
      <c r="N37" s="297">
        <v>40</v>
      </c>
      <c r="O37" s="295"/>
      <c r="P37" s="273">
        <v>38.880000000000003</v>
      </c>
      <c r="Q37" s="297">
        <v>700</v>
      </c>
      <c r="R37" s="302">
        <v>300</v>
      </c>
      <c r="S37" s="273">
        <v>579.26</v>
      </c>
      <c r="T37" s="273">
        <v>145.9</v>
      </c>
      <c r="U37" s="273">
        <v>145.9</v>
      </c>
      <c r="V37" s="287">
        <f t="shared" si="15"/>
        <v>4033.8800000000006</v>
      </c>
      <c r="W37" s="172">
        <f t="shared" si="12"/>
        <v>5018.5800000000008</v>
      </c>
      <c r="X37" s="172" t="e">
        <f>$Y$32 + IF($B$2="mil",1,0.0254)*DDR2Specs!$E$9</f>
        <v>#REF!</v>
      </c>
      <c r="Y37" s="172" t="e">
        <f>$X$32 + IF($B$2="mil",1,0.0254)*DDR2Specs!$F$9</f>
        <v>#REF!</v>
      </c>
      <c r="Z37" s="173" t="e">
        <f t="shared" si="16"/>
        <v>#REF!</v>
      </c>
      <c r="AA37" s="174" t="e">
        <f t="shared" si="17"/>
        <v>#REF!</v>
      </c>
      <c r="AB37" s="287">
        <f t="shared" si="18"/>
        <v>4033.8800000000006</v>
      </c>
      <c r="AC37" s="172">
        <f t="shared" si="19"/>
        <v>5018.5800000000008</v>
      </c>
      <c r="AD37" s="172" t="e">
        <f>$AE$32 + IF($B$2="mil",1,0.0254)*DDR2Specs!$E$9</f>
        <v>#REF!</v>
      </c>
      <c r="AE37" s="172" t="e">
        <f>$AD$32 + IF($B$2="mil",1,0.0254)*DDR2Specs!$F$9</f>
        <v>#REF!</v>
      </c>
      <c r="AF37" s="173" t="e">
        <f t="shared" si="20"/>
        <v>#REF!</v>
      </c>
      <c r="AG37" s="174" t="e">
        <f t="shared" si="21"/>
        <v>#REF!</v>
      </c>
      <c r="AH37" s="175" t="e">
        <f t="shared" si="22"/>
        <v>#REF!</v>
      </c>
      <c r="AI37" s="176" t="e">
        <f t="shared" si="23"/>
        <v>#REF!</v>
      </c>
      <c r="AJ37" s="176" t="e">
        <f t="shared" si="24"/>
        <v>#REF!</v>
      </c>
      <c r="AK37" s="176" t="e">
        <f t="shared" si="25"/>
        <v>#REF!</v>
      </c>
      <c r="AL37" s="176" t="e">
        <f t="shared" ca="1" si="26"/>
        <v>#NAME?</v>
      </c>
      <c r="AM37" s="176" t="e">
        <f t="shared" si="27"/>
        <v>#REF!</v>
      </c>
      <c r="AN37" s="176" t="e">
        <f t="shared" si="28"/>
        <v>#REF!</v>
      </c>
      <c r="AO37" s="176" t="e">
        <f t="shared" si="29"/>
        <v>#REF!</v>
      </c>
      <c r="AP37" s="176" t="e">
        <f t="shared" si="30"/>
        <v>#REF!</v>
      </c>
      <c r="AQ37" s="176" t="e">
        <f t="shared" si="31"/>
        <v>#REF!</v>
      </c>
      <c r="AR37" s="176" t="e">
        <f t="shared" si="32"/>
        <v>#REF!</v>
      </c>
      <c r="AS37" s="176" t="e">
        <f t="shared" si="33"/>
        <v>#REF!</v>
      </c>
      <c r="AT37" s="176" t="e">
        <f t="shared" ca="1" si="34"/>
        <v>#NAME?</v>
      </c>
      <c r="AU37" s="176" t="e">
        <f t="shared" ca="1" si="35"/>
        <v>#NAME?</v>
      </c>
      <c r="AV37" s="176" t="e">
        <f t="shared" si="13"/>
        <v>#REF!</v>
      </c>
      <c r="AW37" s="176" t="e">
        <f t="shared" si="14"/>
        <v>#REF!</v>
      </c>
      <c r="AX37" s="4" t="e">
        <f t="shared" ca="1" si="36"/>
        <v>#REF!</v>
      </c>
    </row>
    <row r="38" spans="1:51" s="4" customFormat="1" x14ac:dyDescent="0.2">
      <c r="A38" s="214" t="s">
        <v>90</v>
      </c>
      <c r="B38" s="217" t="s">
        <v>354</v>
      </c>
      <c r="C38" s="177">
        <v>483.3</v>
      </c>
      <c r="D38" s="164"/>
      <c r="E38" s="199">
        <v>29.7</v>
      </c>
      <c r="F38" s="276">
        <v>0</v>
      </c>
      <c r="G38" s="273">
        <v>1739.31</v>
      </c>
      <c r="H38" s="293">
        <v>0</v>
      </c>
      <c r="I38" s="295"/>
      <c r="J38" s="294">
        <v>0</v>
      </c>
      <c r="K38" s="273">
        <v>36.74</v>
      </c>
      <c r="L38" s="296"/>
      <c r="M38" s="273">
        <v>36.74</v>
      </c>
      <c r="N38" s="297">
        <v>40</v>
      </c>
      <c r="O38" s="295"/>
      <c r="P38" s="273">
        <v>33.57</v>
      </c>
      <c r="Q38" s="297">
        <v>700</v>
      </c>
      <c r="R38" s="302">
        <v>600</v>
      </c>
      <c r="S38" s="273">
        <v>624.74</v>
      </c>
      <c r="T38" s="273">
        <v>103.51</v>
      </c>
      <c r="U38" s="273">
        <v>103.51</v>
      </c>
      <c r="V38" s="287">
        <f t="shared" si="15"/>
        <v>3907.5699999999997</v>
      </c>
      <c r="W38" s="172">
        <f t="shared" si="12"/>
        <v>4390.87</v>
      </c>
      <c r="X38" s="172" t="e">
        <f>$Y$32 + IF($B$2="mil",1,0.0254)*DDR2Specs!$E$9</f>
        <v>#REF!</v>
      </c>
      <c r="Y38" s="172" t="e">
        <f>$X$32 + IF($B$2="mil",1,0.0254)*DDR2Specs!$F$9</f>
        <v>#REF!</v>
      </c>
      <c r="Z38" s="173" t="e">
        <f t="shared" si="16"/>
        <v>#REF!</v>
      </c>
      <c r="AA38" s="174" t="e">
        <f t="shared" si="17"/>
        <v>#REF!</v>
      </c>
      <c r="AB38" s="287">
        <f t="shared" si="18"/>
        <v>3907.5699999999997</v>
      </c>
      <c r="AC38" s="172">
        <f t="shared" si="19"/>
        <v>4390.87</v>
      </c>
      <c r="AD38" s="172" t="e">
        <f>$AE$32 + IF($B$2="mil",1,0.0254)*DDR2Specs!$E$9</f>
        <v>#REF!</v>
      </c>
      <c r="AE38" s="172" t="e">
        <f>$AD$32 + IF($B$2="mil",1,0.0254)*DDR2Specs!$F$9</f>
        <v>#REF!</v>
      </c>
      <c r="AF38" s="173" t="e">
        <f t="shared" si="20"/>
        <v>#REF!</v>
      </c>
      <c r="AG38" s="174" t="e">
        <f t="shared" si="21"/>
        <v>#REF!</v>
      </c>
      <c r="AH38" s="175" t="e">
        <f t="shared" si="22"/>
        <v>#REF!</v>
      </c>
      <c r="AI38" s="176" t="e">
        <f t="shared" si="23"/>
        <v>#REF!</v>
      </c>
      <c r="AJ38" s="176" t="e">
        <f t="shared" si="24"/>
        <v>#REF!</v>
      </c>
      <c r="AK38" s="176" t="e">
        <f t="shared" si="25"/>
        <v>#REF!</v>
      </c>
      <c r="AL38" s="176" t="e">
        <f t="shared" ca="1" si="26"/>
        <v>#NAME?</v>
      </c>
      <c r="AM38" s="176" t="e">
        <f t="shared" si="27"/>
        <v>#REF!</v>
      </c>
      <c r="AN38" s="176" t="e">
        <f t="shared" si="28"/>
        <v>#REF!</v>
      </c>
      <c r="AO38" s="176" t="e">
        <f t="shared" si="29"/>
        <v>#REF!</v>
      </c>
      <c r="AP38" s="176" t="e">
        <f t="shared" si="30"/>
        <v>#REF!</v>
      </c>
      <c r="AQ38" s="176" t="e">
        <f t="shared" si="31"/>
        <v>#REF!</v>
      </c>
      <c r="AR38" s="176" t="e">
        <f t="shared" si="32"/>
        <v>#REF!</v>
      </c>
      <c r="AS38" s="176" t="e">
        <f t="shared" si="33"/>
        <v>#REF!</v>
      </c>
      <c r="AT38" s="176" t="e">
        <f t="shared" ca="1" si="34"/>
        <v>#NAME?</v>
      </c>
      <c r="AU38" s="176" t="e">
        <f t="shared" ca="1" si="35"/>
        <v>#NAME?</v>
      </c>
      <c r="AV38" s="176" t="e">
        <f t="shared" si="13"/>
        <v>#REF!</v>
      </c>
      <c r="AW38" s="176" t="e">
        <f t="shared" si="14"/>
        <v>#REF!</v>
      </c>
      <c r="AX38" s="4" t="e">
        <f t="shared" ca="1" si="36"/>
        <v>#REF!</v>
      </c>
    </row>
    <row r="39" spans="1:51" s="4" customFormat="1" x14ac:dyDescent="0.2">
      <c r="A39" s="214" t="s">
        <v>91</v>
      </c>
      <c r="B39" s="217" t="s">
        <v>355</v>
      </c>
      <c r="C39" s="177">
        <v>510.9</v>
      </c>
      <c r="D39" s="164"/>
      <c r="E39" s="199">
        <v>29.7</v>
      </c>
      <c r="F39" s="276">
        <v>0</v>
      </c>
      <c r="G39" s="273">
        <v>2311.37</v>
      </c>
      <c r="H39" s="293">
        <v>0</v>
      </c>
      <c r="I39" s="295"/>
      <c r="J39" s="294">
        <v>0</v>
      </c>
      <c r="K39" s="273">
        <v>38.71</v>
      </c>
      <c r="L39" s="296"/>
      <c r="M39" s="273">
        <v>38.71</v>
      </c>
      <c r="N39" s="297">
        <v>40</v>
      </c>
      <c r="O39" s="295"/>
      <c r="P39" s="273">
        <v>42.86</v>
      </c>
      <c r="Q39" s="297">
        <v>700</v>
      </c>
      <c r="R39" s="302">
        <v>200</v>
      </c>
      <c r="S39" s="273">
        <v>610.85</v>
      </c>
      <c r="T39" s="273">
        <v>75.709999999999994</v>
      </c>
      <c r="U39" s="273">
        <v>75.709999999999994</v>
      </c>
      <c r="V39" s="287">
        <f t="shared" si="15"/>
        <v>4049.2</v>
      </c>
      <c r="W39" s="172">
        <f t="shared" si="12"/>
        <v>4560.0999999999995</v>
      </c>
      <c r="X39" s="172" t="e">
        <f>$Y$32 + IF($B$2="mil",1,0.0254)*DDR2Specs!$E$9</f>
        <v>#REF!</v>
      </c>
      <c r="Y39" s="172" t="e">
        <f>$X$32 + IF($B$2="mil",1,0.0254)*DDR2Specs!$F$9</f>
        <v>#REF!</v>
      </c>
      <c r="Z39" s="173" t="e">
        <f t="shared" si="16"/>
        <v>#REF!</v>
      </c>
      <c r="AA39" s="174" t="e">
        <f t="shared" si="17"/>
        <v>#REF!</v>
      </c>
      <c r="AB39" s="287">
        <f t="shared" si="18"/>
        <v>4049.2</v>
      </c>
      <c r="AC39" s="172">
        <f t="shared" si="19"/>
        <v>4560.0999999999995</v>
      </c>
      <c r="AD39" s="172" t="e">
        <f>$AE$32 + IF($B$2="mil",1,0.0254)*DDR2Specs!$E$9</f>
        <v>#REF!</v>
      </c>
      <c r="AE39" s="172" t="e">
        <f>$AD$32 + IF($B$2="mil",1,0.0254)*DDR2Specs!$F$9</f>
        <v>#REF!</v>
      </c>
      <c r="AF39" s="173" t="e">
        <f t="shared" si="20"/>
        <v>#REF!</v>
      </c>
      <c r="AG39" s="174" t="e">
        <f t="shared" si="21"/>
        <v>#REF!</v>
      </c>
      <c r="AH39" s="175" t="e">
        <f t="shared" si="22"/>
        <v>#REF!</v>
      </c>
      <c r="AI39" s="176" t="e">
        <f t="shared" si="23"/>
        <v>#REF!</v>
      </c>
      <c r="AJ39" s="176" t="e">
        <f t="shared" si="24"/>
        <v>#REF!</v>
      </c>
      <c r="AK39" s="176" t="e">
        <f t="shared" si="25"/>
        <v>#REF!</v>
      </c>
      <c r="AL39" s="176" t="e">
        <f t="shared" ca="1" si="26"/>
        <v>#NAME?</v>
      </c>
      <c r="AM39" s="176" t="e">
        <f t="shared" si="27"/>
        <v>#REF!</v>
      </c>
      <c r="AN39" s="176" t="e">
        <f t="shared" si="28"/>
        <v>#REF!</v>
      </c>
      <c r="AO39" s="176" t="e">
        <f t="shared" si="29"/>
        <v>#REF!</v>
      </c>
      <c r="AP39" s="176" t="e">
        <f t="shared" si="30"/>
        <v>#REF!</v>
      </c>
      <c r="AQ39" s="176" t="e">
        <f t="shared" si="31"/>
        <v>#REF!</v>
      </c>
      <c r="AR39" s="176" t="e">
        <f t="shared" si="32"/>
        <v>#REF!</v>
      </c>
      <c r="AS39" s="176" t="e">
        <f t="shared" si="33"/>
        <v>#REF!</v>
      </c>
      <c r="AT39" s="176" t="e">
        <f t="shared" ca="1" si="34"/>
        <v>#NAME?</v>
      </c>
      <c r="AU39" s="176" t="e">
        <f t="shared" ca="1" si="35"/>
        <v>#NAME?</v>
      </c>
      <c r="AV39" s="176" t="e">
        <f t="shared" si="13"/>
        <v>#REF!</v>
      </c>
      <c r="AW39" s="176" t="e">
        <f t="shared" si="14"/>
        <v>#REF!</v>
      </c>
      <c r="AX39" s="4" t="e">
        <f t="shared" ca="1" si="36"/>
        <v>#REF!</v>
      </c>
    </row>
    <row r="40" spans="1:51" s="4" customFormat="1" x14ac:dyDescent="0.2">
      <c r="A40" s="214" t="s">
        <v>92</v>
      </c>
      <c r="B40" s="217" t="s">
        <v>356</v>
      </c>
      <c r="C40" s="177">
        <v>507.6</v>
      </c>
      <c r="D40" s="164"/>
      <c r="E40" s="199">
        <v>29.7</v>
      </c>
      <c r="F40" s="276">
        <v>0</v>
      </c>
      <c r="G40" s="273">
        <v>2336.23</v>
      </c>
      <c r="H40" s="293">
        <v>0</v>
      </c>
      <c r="I40" s="295"/>
      <c r="J40" s="294">
        <v>0</v>
      </c>
      <c r="K40" s="273">
        <v>37.5</v>
      </c>
      <c r="L40" s="296"/>
      <c r="M40" s="273">
        <v>37.5</v>
      </c>
      <c r="N40" s="297">
        <v>40</v>
      </c>
      <c r="O40" s="295"/>
      <c r="P40" s="273">
        <v>40.68</v>
      </c>
      <c r="Q40" s="297">
        <v>700</v>
      </c>
      <c r="R40" s="302">
        <v>200</v>
      </c>
      <c r="S40" s="273">
        <v>604.02</v>
      </c>
      <c r="T40" s="273">
        <v>101.05</v>
      </c>
      <c r="U40" s="273">
        <v>101.05</v>
      </c>
      <c r="V40" s="287">
        <f t="shared" si="15"/>
        <v>4089.18</v>
      </c>
      <c r="W40" s="172">
        <f t="shared" si="12"/>
        <v>4596.78</v>
      </c>
      <c r="X40" s="172" t="e">
        <f>$Y$32 + IF($B$2="mil",1,0.0254)*DDR2Specs!$E$9</f>
        <v>#REF!</v>
      </c>
      <c r="Y40" s="172" t="e">
        <f>$X$32 + IF($B$2="mil",1,0.0254)*DDR2Specs!$F$9</f>
        <v>#REF!</v>
      </c>
      <c r="Z40" s="173" t="e">
        <f t="shared" si="16"/>
        <v>#REF!</v>
      </c>
      <c r="AA40" s="174" t="e">
        <f t="shared" si="17"/>
        <v>#REF!</v>
      </c>
      <c r="AB40" s="287">
        <f t="shared" si="18"/>
        <v>4089.18</v>
      </c>
      <c r="AC40" s="172">
        <f t="shared" si="19"/>
        <v>4596.78</v>
      </c>
      <c r="AD40" s="172" t="e">
        <f>$AE$32 + IF($B$2="mil",1,0.0254)*DDR2Specs!$E$9</f>
        <v>#REF!</v>
      </c>
      <c r="AE40" s="172" t="e">
        <f>$AD$32 + IF($B$2="mil",1,0.0254)*DDR2Specs!$F$9</f>
        <v>#REF!</v>
      </c>
      <c r="AF40" s="173" t="e">
        <f t="shared" si="20"/>
        <v>#REF!</v>
      </c>
      <c r="AG40" s="174" t="e">
        <f t="shared" si="21"/>
        <v>#REF!</v>
      </c>
      <c r="AH40" s="175" t="e">
        <f t="shared" si="22"/>
        <v>#REF!</v>
      </c>
      <c r="AI40" s="176" t="e">
        <f t="shared" si="23"/>
        <v>#REF!</v>
      </c>
      <c r="AJ40" s="176" t="e">
        <f t="shared" si="24"/>
        <v>#REF!</v>
      </c>
      <c r="AK40" s="176" t="e">
        <f t="shared" si="25"/>
        <v>#REF!</v>
      </c>
      <c r="AL40" s="176" t="e">
        <f t="shared" ca="1" si="26"/>
        <v>#NAME?</v>
      </c>
      <c r="AM40" s="176" t="e">
        <f t="shared" si="27"/>
        <v>#REF!</v>
      </c>
      <c r="AN40" s="176" t="e">
        <f t="shared" si="28"/>
        <v>#REF!</v>
      </c>
      <c r="AO40" s="176" t="e">
        <f t="shared" si="29"/>
        <v>#REF!</v>
      </c>
      <c r="AP40" s="176" t="e">
        <f t="shared" si="30"/>
        <v>#REF!</v>
      </c>
      <c r="AQ40" s="176" t="e">
        <f t="shared" si="31"/>
        <v>#REF!</v>
      </c>
      <c r="AR40" s="176" t="e">
        <f t="shared" si="32"/>
        <v>#REF!</v>
      </c>
      <c r="AS40" s="176" t="e">
        <f t="shared" si="33"/>
        <v>#REF!</v>
      </c>
      <c r="AT40" s="176" t="e">
        <f t="shared" ca="1" si="34"/>
        <v>#NAME?</v>
      </c>
      <c r="AU40" s="176" t="e">
        <f t="shared" ca="1" si="35"/>
        <v>#NAME?</v>
      </c>
      <c r="AV40" s="176" t="e">
        <f t="shared" si="13"/>
        <v>#REF!</v>
      </c>
      <c r="AW40" s="176" t="e">
        <f t="shared" si="14"/>
        <v>#REF!</v>
      </c>
      <c r="AX40" s="4" t="e">
        <f t="shared" ca="1" si="36"/>
        <v>#REF!</v>
      </c>
    </row>
    <row r="41" spans="1:51" s="4" customFormat="1" x14ac:dyDescent="0.2">
      <c r="A41" s="214" t="s">
        <v>94</v>
      </c>
      <c r="B41" s="217" t="s">
        <v>357</v>
      </c>
      <c r="C41" s="177">
        <v>495.6</v>
      </c>
      <c r="D41" s="164"/>
      <c r="E41" s="199">
        <v>29.7</v>
      </c>
      <c r="F41" s="276">
        <v>0</v>
      </c>
      <c r="G41" s="273">
        <v>2228.25</v>
      </c>
      <c r="H41" s="293">
        <v>0</v>
      </c>
      <c r="I41" s="295"/>
      <c r="J41" s="294">
        <v>0</v>
      </c>
      <c r="K41" s="273">
        <v>37.5</v>
      </c>
      <c r="L41" s="296"/>
      <c r="M41" s="273">
        <v>37.5</v>
      </c>
      <c r="N41" s="297">
        <v>40</v>
      </c>
      <c r="O41" s="295"/>
      <c r="P41" s="273">
        <v>30.91</v>
      </c>
      <c r="Q41" s="297">
        <v>700</v>
      </c>
      <c r="R41" s="302">
        <v>200</v>
      </c>
      <c r="S41" s="273">
        <v>596.35</v>
      </c>
      <c r="T41" s="273">
        <v>144.30000000000001</v>
      </c>
      <c r="U41" s="273">
        <v>144.30000000000001</v>
      </c>
      <c r="V41" s="287">
        <f t="shared" si="15"/>
        <v>4007.0099999999998</v>
      </c>
      <c r="W41" s="172">
        <f t="shared" si="12"/>
        <v>4502.6099999999997</v>
      </c>
      <c r="X41" s="172" t="e">
        <f>$Y$32 + IF($B$2="mil",1,0.0254)*DDR2Specs!$E$9</f>
        <v>#REF!</v>
      </c>
      <c r="Y41" s="172" t="e">
        <f>$X$32 + IF($B$2="mil",1,0.0254)*DDR2Specs!$F$9</f>
        <v>#REF!</v>
      </c>
      <c r="Z41" s="173" t="e">
        <f t="shared" si="16"/>
        <v>#REF!</v>
      </c>
      <c r="AA41" s="174" t="e">
        <f t="shared" si="17"/>
        <v>#REF!</v>
      </c>
      <c r="AB41" s="287">
        <f t="shared" si="18"/>
        <v>4007.0099999999998</v>
      </c>
      <c r="AC41" s="172">
        <f t="shared" si="19"/>
        <v>4502.6099999999997</v>
      </c>
      <c r="AD41" s="172" t="e">
        <f>$AE$32 + IF($B$2="mil",1,0.0254)*DDR2Specs!$E$9</f>
        <v>#REF!</v>
      </c>
      <c r="AE41" s="172" t="e">
        <f>$AD$32 + IF($B$2="mil",1,0.0254)*DDR2Specs!$F$9</f>
        <v>#REF!</v>
      </c>
      <c r="AF41" s="173" t="e">
        <f t="shared" si="20"/>
        <v>#REF!</v>
      </c>
      <c r="AG41" s="174" t="e">
        <f t="shared" si="21"/>
        <v>#REF!</v>
      </c>
      <c r="AH41" s="175" t="e">
        <f t="shared" si="22"/>
        <v>#REF!</v>
      </c>
      <c r="AI41" s="176" t="e">
        <f t="shared" si="23"/>
        <v>#REF!</v>
      </c>
      <c r="AJ41" s="176" t="e">
        <f t="shared" si="24"/>
        <v>#REF!</v>
      </c>
      <c r="AK41" s="176" t="e">
        <f t="shared" si="25"/>
        <v>#REF!</v>
      </c>
      <c r="AL41" s="176" t="e">
        <f t="shared" ca="1" si="26"/>
        <v>#NAME?</v>
      </c>
      <c r="AM41" s="176" t="e">
        <f t="shared" si="27"/>
        <v>#REF!</v>
      </c>
      <c r="AN41" s="176" t="e">
        <f t="shared" si="28"/>
        <v>#REF!</v>
      </c>
      <c r="AO41" s="176" t="e">
        <f t="shared" si="29"/>
        <v>#REF!</v>
      </c>
      <c r="AP41" s="176" t="e">
        <f t="shared" si="30"/>
        <v>#REF!</v>
      </c>
      <c r="AQ41" s="176" t="e">
        <f t="shared" si="31"/>
        <v>#REF!</v>
      </c>
      <c r="AR41" s="176" t="e">
        <f t="shared" si="32"/>
        <v>#REF!</v>
      </c>
      <c r="AS41" s="176" t="e">
        <f t="shared" si="33"/>
        <v>#REF!</v>
      </c>
      <c r="AT41" s="176" t="e">
        <f t="shared" ca="1" si="34"/>
        <v>#NAME?</v>
      </c>
      <c r="AU41" s="176" t="e">
        <f t="shared" ca="1" si="35"/>
        <v>#NAME?</v>
      </c>
      <c r="AV41" s="176" t="e">
        <f t="shared" si="13"/>
        <v>#REF!</v>
      </c>
      <c r="AW41" s="176" t="e">
        <f t="shared" si="14"/>
        <v>#REF!</v>
      </c>
      <c r="AX41" s="4" t="e">
        <f t="shared" ca="1" si="36"/>
        <v>#REF!</v>
      </c>
    </row>
    <row r="42" spans="1:51" s="4" customFormat="1" x14ac:dyDescent="0.2">
      <c r="A42" s="214" t="s">
        <v>95</v>
      </c>
      <c r="B42" s="217" t="s">
        <v>358</v>
      </c>
      <c r="C42" s="177">
        <v>563.70000000000005</v>
      </c>
      <c r="D42" s="164"/>
      <c r="E42" s="199">
        <v>29.7</v>
      </c>
      <c r="F42" s="276">
        <v>0</v>
      </c>
      <c r="G42" s="273">
        <v>1730.91</v>
      </c>
      <c r="H42" s="293">
        <v>0</v>
      </c>
      <c r="I42" s="295"/>
      <c r="J42" s="294">
        <v>0</v>
      </c>
      <c r="K42" s="273">
        <v>34.909999999999997</v>
      </c>
      <c r="L42" s="296"/>
      <c r="M42" s="273">
        <v>34.909999999999997</v>
      </c>
      <c r="N42" s="297">
        <v>40</v>
      </c>
      <c r="O42" s="295"/>
      <c r="P42" s="273">
        <v>41.2</v>
      </c>
      <c r="Q42" s="297">
        <v>700</v>
      </c>
      <c r="R42" s="302">
        <v>750</v>
      </c>
      <c r="S42" s="273">
        <v>615.67999999999995</v>
      </c>
      <c r="T42" s="273">
        <v>75.209999999999994</v>
      </c>
      <c r="U42" s="273">
        <v>75.209999999999994</v>
      </c>
      <c r="V42" s="287">
        <f t="shared" si="15"/>
        <v>4017.61</v>
      </c>
      <c r="W42" s="172">
        <f t="shared" si="12"/>
        <v>4581.3100000000004</v>
      </c>
      <c r="X42" s="172" t="e">
        <f>$Y$32 + IF($B$2="mil",1,0.0254)*DDR2Specs!$E$9</f>
        <v>#REF!</v>
      </c>
      <c r="Y42" s="172" t="e">
        <f>$X$32 + IF($B$2="mil",1,0.0254)*DDR2Specs!$F$9</f>
        <v>#REF!</v>
      </c>
      <c r="Z42" s="173" t="e">
        <f t="shared" si="16"/>
        <v>#REF!</v>
      </c>
      <c r="AA42" s="174" t="e">
        <f t="shared" si="17"/>
        <v>#REF!</v>
      </c>
      <c r="AB42" s="287">
        <f t="shared" si="18"/>
        <v>4017.61</v>
      </c>
      <c r="AC42" s="172">
        <f t="shared" si="19"/>
        <v>4581.3100000000004</v>
      </c>
      <c r="AD42" s="172" t="e">
        <f>$AE$32 + IF($B$2="mil",1,0.0254)*DDR2Specs!$E$9</f>
        <v>#REF!</v>
      </c>
      <c r="AE42" s="172" t="e">
        <f>$AD$32 + IF($B$2="mil",1,0.0254)*DDR2Specs!$F$9</f>
        <v>#REF!</v>
      </c>
      <c r="AF42" s="173" t="e">
        <f t="shared" si="20"/>
        <v>#REF!</v>
      </c>
      <c r="AG42" s="174" t="e">
        <f t="shared" si="21"/>
        <v>#REF!</v>
      </c>
      <c r="AH42" s="175" t="e">
        <f t="shared" si="22"/>
        <v>#REF!</v>
      </c>
      <c r="AI42" s="176" t="e">
        <f t="shared" si="23"/>
        <v>#REF!</v>
      </c>
      <c r="AJ42" s="176" t="e">
        <f t="shared" si="24"/>
        <v>#REF!</v>
      </c>
      <c r="AK42" s="176" t="e">
        <f t="shared" si="25"/>
        <v>#REF!</v>
      </c>
      <c r="AL42" s="176" t="e">
        <f t="shared" ca="1" si="26"/>
        <v>#NAME?</v>
      </c>
      <c r="AM42" s="176" t="e">
        <f t="shared" si="27"/>
        <v>#REF!</v>
      </c>
      <c r="AN42" s="176" t="e">
        <f t="shared" si="28"/>
        <v>#REF!</v>
      </c>
      <c r="AO42" s="176" t="e">
        <f t="shared" si="29"/>
        <v>#REF!</v>
      </c>
      <c r="AP42" s="176" t="e">
        <f t="shared" si="30"/>
        <v>#REF!</v>
      </c>
      <c r="AQ42" s="176" t="e">
        <f t="shared" si="31"/>
        <v>#REF!</v>
      </c>
      <c r="AR42" s="176" t="e">
        <f t="shared" si="32"/>
        <v>#REF!</v>
      </c>
      <c r="AS42" s="176" t="e">
        <f t="shared" si="33"/>
        <v>#REF!</v>
      </c>
      <c r="AT42" s="176" t="e">
        <f t="shared" ca="1" si="34"/>
        <v>#NAME?</v>
      </c>
      <c r="AU42" s="176" t="e">
        <f t="shared" ca="1" si="35"/>
        <v>#NAME?</v>
      </c>
      <c r="AV42" s="176" t="e">
        <f t="shared" si="13"/>
        <v>#REF!</v>
      </c>
      <c r="AW42" s="176" t="e">
        <f t="shared" si="14"/>
        <v>#REF!</v>
      </c>
      <c r="AX42" s="4" t="e">
        <f t="shared" ca="1" si="36"/>
        <v>#REF!</v>
      </c>
    </row>
    <row r="43" spans="1:51" s="4" customFormat="1" x14ac:dyDescent="0.2">
      <c r="A43" s="214" t="s">
        <v>96</v>
      </c>
      <c r="B43" s="216" t="s">
        <v>359</v>
      </c>
      <c r="C43" s="189">
        <v>829.3</v>
      </c>
      <c r="D43" s="164"/>
      <c r="E43" s="199">
        <v>29.7</v>
      </c>
      <c r="F43" s="276">
        <v>0</v>
      </c>
      <c r="G43" s="273">
        <v>2382.96</v>
      </c>
      <c r="H43" s="293">
        <v>0</v>
      </c>
      <c r="I43" s="295"/>
      <c r="J43" s="294">
        <v>0</v>
      </c>
      <c r="K43" s="273">
        <v>42.2</v>
      </c>
      <c r="L43" s="296"/>
      <c r="M43" s="273">
        <v>42.2</v>
      </c>
      <c r="N43" s="297">
        <v>40</v>
      </c>
      <c r="O43" s="295"/>
      <c r="P43" s="273">
        <v>29.91</v>
      </c>
      <c r="Q43" s="297">
        <v>700</v>
      </c>
      <c r="R43" s="302">
        <v>350</v>
      </c>
      <c r="S43" s="273">
        <v>533.94000000000005</v>
      </c>
      <c r="T43" s="273">
        <v>117.25</v>
      </c>
      <c r="U43" s="273">
        <v>117.25</v>
      </c>
      <c r="V43" s="287">
        <f t="shared" si="15"/>
        <v>4225.9599999999991</v>
      </c>
      <c r="W43" s="172">
        <f t="shared" si="12"/>
        <v>5055.2599999999993</v>
      </c>
      <c r="X43" s="172" t="e">
        <f>$Y$32 + IF($B$2="mil",1,0.0254)*DDR2Specs!$E$9</f>
        <v>#REF!</v>
      </c>
      <c r="Y43" s="172" t="e">
        <f>$X$32 + IF($B$2="mil",1,0.0254)*DDR2Specs!$F$9</f>
        <v>#REF!</v>
      </c>
      <c r="Z43" s="173" t="e">
        <f t="shared" si="16"/>
        <v>#REF!</v>
      </c>
      <c r="AA43" s="174" t="e">
        <f t="shared" si="17"/>
        <v>#REF!</v>
      </c>
      <c r="AB43" s="287">
        <f t="shared" si="18"/>
        <v>4225.9599999999991</v>
      </c>
      <c r="AC43" s="172">
        <f t="shared" si="19"/>
        <v>5055.2599999999993</v>
      </c>
      <c r="AD43" s="172" t="e">
        <f>$AE$32 + IF($B$2="mil",1,0.0254)*DDR2Specs!$E$9</f>
        <v>#REF!</v>
      </c>
      <c r="AE43" s="172" t="e">
        <f>$AD$32 + IF($B$2="mil",1,0.0254)*DDR2Specs!$F$9</f>
        <v>#REF!</v>
      </c>
      <c r="AF43" s="173" t="e">
        <f t="shared" si="20"/>
        <v>#REF!</v>
      </c>
      <c r="AG43" s="174" t="e">
        <f t="shared" si="21"/>
        <v>#REF!</v>
      </c>
      <c r="AH43" s="175" t="e">
        <f t="shared" si="22"/>
        <v>#REF!</v>
      </c>
      <c r="AI43" s="176" t="e">
        <f t="shared" si="23"/>
        <v>#REF!</v>
      </c>
      <c r="AJ43" s="176" t="e">
        <f t="shared" si="24"/>
        <v>#REF!</v>
      </c>
      <c r="AK43" s="176" t="e">
        <f t="shared" si="25"/>
        <v>#REF!</v>
      </c>
      <c r="AL43" s="176" t="e">
        <f t="shared" ca="1" si="26"/>
        <v>#NAME?</v>
      </c>
      <c r="AM43" s="176" t="e">
        <f t="shared" si="27"/>
        <v>#REF!</v>
      </c>
      <c r="AN43" s="176" t="e">
        <f t="shared" si="28"/>
        <v>#REF!</v>
      </c>
      <c r="AO43" s="176" t="e">
        <f t="shared" si="29"/>
        <v>#REF!</v>
      </c>
      <c r="AP43" s="176" t="e">
        <f t="shared" si="30"/>
        <v>#REF!</v>
      </c>
      <c r="AQ43" s="176" t="e">
        <f t="shared" si="31"/>
        <v>#REF!</v>
      </c>
      <c r="AR43" s="176" t="e">
        <f t="shared" si="32"/>
        <v>#REF!</v>
      </c>
      <c r="AS43" s="176" t="e">
        <f t="shared" si="33"/>
        <v>#REF!</v>
      </c>
      <c r="AT43" s="176" t="e">
        <f t="shared" ca="1" si="34"/>
        <v>#NAME?</v>
      </c>
      <c r="AU43" s="176" t="e">
        <f t="shared" ca="1" si="35"/>
        <v>#NAME?</v>
      </c>
      <c r="AV43" s="176" t="e">
        <f t="shared" si="13"/>
        <v>#REF!</v>
      </c>
      <c r="AW43" s="176" t="e">
        <f t="shared" si="14"/>
        <v>#REF!</v>
      </c>
      <c r="AX43" s="4" t="e">
        <f t="shared" ca="1" si="36"/>
        <v>#REF!</v>
      </c>
    </row>
    <row r="44" spans="1:51" s="4" customFormat="1" x14ac:dyDescent="0.2">
      <c r="A44" s="214" t="s">
        <v>98</v>
      </c>
      <c r="B44" s="216" t="s">
        <v>360</v>
      </c>
      <c r="C44" s="189">
        <v>566.9</v>
      </c>
      <c r="D44" s="164"/>
      <c r="E44" s="199">
        <v>29.7</v>
      </c>
      <c r="F44" s="276">
        <v>0</v>
      </c>
      <c r="G44" s="273">
        <v>2329.09</v>
      </c>
      <c r="H44" s="293">
        <v>0</v>
      </c>
      <c r="I44" s="295"/>
      <c r="J44" s="294">
        <v>0</v>
      </c>
      <c r="K44" s="273">
        <v>37.5</v>
      </c>
      <c r="L44" s="296"/>
      <c r="M44" s="273">
        <v>37.5</v>
      </c>
      <c r="N44" s="297">
        <v>40</v>
      </c>
      <c r="O44" s="295"/>
      <c r="P44" s="273">
        <v>33.5</v>
      </c>
      <c r="Q44" s="297">
        <v>700</v>
      </c>
      <c r="R44" s="302">
        <v>250</v>
      </c>
      <c r="S44" s="273">
        <v>559.79</v>
      </c>
      <c r="T44" s="273">
        <v>37.24</v>
      </c>
      <c r="U44" s="273">
        <v>37.24</v>
      </c>
      <c r="V44" s="287">
        <f t="shared" si="15"/>
        <v>4016.8199999999997</v>
      </c>
      <c r="W44" s="172">
        <f t="shared" si="12"/>
        <v>4583.7199999999993</v>
      </c>
      <c r="X44" s="172" t="e">
        <f>$Y$32 + IF($B$2="mil",1,0.0254)*DDR2Specs!$E$9</f>
        <v>#REF!</v>
      </c>
      <c r="Y44" s="172" t="e">
        <f>$X$32 + IF($B$2="mil",1,0.0254)*DDR2Specs!$F$9</f>
        <v>#REF!</v>
      </c>
      <c r="Z44" s="173" t="e">
        <f t="shared" si="16"/>
        <v>#REF!</v>
      </c>
      <c r="AA44" s="174" t="e">
        <f t="shared" si="17"/>
        <v>#REF!</v>
      </c>
      <c r="AB44" s="287">
        <f t="shared" si="18"/>
        <v>4016.8199999999997</v>
      </c>
      <c r="AC44" s="172">
        <f t="shared" si="19"/>
        <v>4583.7199999999993</v>
      </c>
      <c r="AD44" s="172" t="e">
        <f>$AE$32 + IF($B$2="mil",1,0.0254)*DDR2Specs!$E$9</f>
        <v>#REF!</v>
      </c>
      <c r="AE44" s="172" t="e">
        <f>$AD$32 + IF($B$2="mil",1,0.0254)*DDR2Specs!$F$9</f>
        <v>#REF!</v>
      </c>
      <c r="AF44" s="173" t="e">
        <f t="shared" si="20"/>
        <v>#REF!</v>
      </c>
      <c r="AG44" s="174" t="e">
        <f t="shared" si="21"/>
        <v>#REF!</v>
      </c>
      <c r="AH44" s="175" t="e">
        <f t="shared" si="22"/>
        <v>#REF!</v>
      </c>
      <c r="AI44" s="176" t="e">
        <f t="shared" si="23"/>
        <v>#REF!</v>
      </c>
      <c r="AJ44" s="176" t="e">
        <f t="shared" si="24"/>
        <v>#REF!</v>
      </c>
      <c r="AK44" s="176" t="e">
        <f t="shared" si="25"/>
        <v>#REF!</v>
      </c>
      <c r="AL44" s="176" t="e">
        <f t="shared" ca="1" si="26"/>
        <v>#NAME?</v>
      </c>
      <c r="AM44" s="176" t="e">
        <f t="shared" si="27"/>
        <v>#REF!</v>
      </c>
      <c r="AN44" s="176" t="e">
        <f t="shared" si="28"/>
        <v>#REF!</v>
      </c>
      <c r="AO44" s="176" t="e">
        <f t="shared" si="29"/>
        <v>#REF!</v>
      </c>
      <c r="AP44" s="176" t="e">
        <f t="shared" si="30"/>
        <v>#REF!</v>
      </c>
      <c r="AQ44" s="176" t="e">
        <f t="shared" si="31"/>
        <v>#REF!</v>
      </c>
      <c r="AR44" s="176" t="e">
        <f t="shared" si="32"/>
        <v>#REF!</v>
      </c>
      <c r="AS44" s="176" t="e">
        <f t="shared" si="33"/>
        <v>#REF!</v>
      </c>
      <c r="AT44" s="176" t="e">
        <f t="shared" ca="1" si="34"/>
        <v>#NAME?</v>
      </c>
      <c r="AU44" s="176" t="e">
        <f t="shared" ca="1" si="35"/>
        <v>#NAME?</v>
      </c>
      <c r="AV44" s="176" t="e">
        <f t="shared" si="13"/>
        <v>#REF!</v>
      </c>
      <c r="AW44" s="176" t="e">
        <f t="shared" si="14"/>
        <v>#REF!</v>
      </c>
      <c r="AX44" s="4" t="e">
        <f t="shared" ca="1" si="36"/>
        <v>#REF!</v>
      </c>
    </row>
    <row r="45" spans="1:51" s="4" customFormat="1" x14ac:dyDescent="0.2">
      <c r="A45" s="214" t="s">
        <v>99</v>
      </c>
      <c r="B45" s="216" t="s">
        <v>361</v>
      </c>
      <c r="C45" s="189">
        <v>739.7</v>
      </c>
      <c r="D45" s="164"/>
      <c r="E45" s="199">
        <v>29.7</v>
      </c>
      <c r="F45" s="276">
        <v>0</v>
      </c>
      <c r="G45" s="273">
        <v>2356.5300000000002</v>
      </c>
      <c r="H45" s="293">
        <v>0</v>
      </c>
      <c r="I45" s="295"/>
      <c r="J45" s="294">
        <v>0</v>
      </c>
      <c r="K45" s="273">
        <v>31.91</v>
      </c>
      <c r="L45" s="296"/>
      <c r="M45" s="273">
        <v>31.91</v>
      </c>
      <c r="N45" s="297">
        <v>40</v>
      </c>
      <c r="O45" s="295"/>
      <c r="P45" s="273">
        <v>37.909999999999997</v>
      </c>
      <c r="Q45" s="297">
        <v>700</v>
      </c>
      <c r="R45" s="302">
        <v>250</v>
      </c>
      <c r="S45" s="273">
        <v>632.15</v>
      </c>
      <c r="T45" s="273">
        <v>72.760000000000005</v>
      </c>
      <c r="U45" s="273">
        <v>72.760000000000005</v>
      </c>
      <c r="V45" s="287">
        <f t="shared" si="15"/>
        <v>4150.96</v>
      </c>
      <c r="W45" s="172">
        <f t="shared" si="12"/>
        <v>4890.66</v>
      </c>
      <c r="X45" s="172" t="e">
        <f>$Y$32 + IF($B$2="mil",1,0.0254)*DDR2Specs!$E$9</f>
        <v>#REF!</v>
      </c>
      <c r="Y45" s="172" t="e">
        <f>$X$32 + IF($B$2="mil",1,0.0254)*DDR2Specs!$F$9</f>
        <v>#REF!</v>
      </c>
      <c r="Z45" s="173" t="e">
        <f t="shared" si="16"/>
        <v>#REF!</v>
      </c>
      <c r="AA45" s="174" t="e">
        <f t="shared" si="17"/>
        <v>#REF!</v>
      </c>
      <c r="AB45" s="287">
        <f t="shared" si="18"/>
        <v>4150.96</v>
      </c>
      <c r="AC45" s="172">
        <f t="shared" si="19"/>
        <v>4890.66</v>
      </c>
      <c r="AD45" s="172" t="e">
        <f>$AE$32 + IF($B$2="mil",1,0.0254)*DDR2Specs!$E$9</f>
        <v>#REF!</v>
      </c>
      <c r="AE45" s="172" t="e">
        <f>$AD$32 + IF($B$2="mil",1,0.0254)*DDR2Specs!$F$9</f>
        <v>#REF!</v>
      </c>
      <c r="AF45" s="173" t="e">
        <f t="shared" si="20"/>
        <v>#REF!</v>
      </c>
      <c r="AG45" s="174" t="e">
        <f t="shared" si="21"/>
        <v>#REF!</v>
      </c>
      <c r="AH45" s="175" t="e">
        <f t="shared" si="22"/>
        <v>#REF!</v>
      </c>
      <c r="AI45" s="176" t="e">
        <f t="shared" si="23"/>
        <v>#REF!</v>
      </c>
      <c r="AJ45" s="176" t="e">
        <f t="shared" si="24"/>
        <v>#REF!</v>
      </c>
      <c r="AK45" s="176" t="e">
        <f t="shared" si="25"/>
        <v>#REF!</v>
      </c>
      <c r="AL45" s="176" t="e">
        <f t="shared" ca="1" si="26"/>
        <v>#NAME?</v>
      </c>
      <c r="AM45" s="176" t="e">
        <f t="shared" si="27"/>
        <v>#REF!</v>
      </c>
      <c r="AN45" s="176" t="e">
        <f t="shared" si="28"/>
        <v>#REF!</v>
      </c>
      <c r="AO45" s="176" t="e">
        <f t="shared" si="29"/>
        <v>#REF!</v>
      </c>
      <c r="AP45" s="176" t="e">
        <f t="shared" si="30"/>
        <v>#REF!</v>
      </c>
      <c r="AQ45" s="176" t="e">
        <f t="shared" si="31"/>
        <v>#REF!</v>
      </c>
      <c r="AR45" s="176" t="e">
        <f t="shared" si="32"/>
        <v>#REF!</v>
      </c>
      <c r="AS45" s="176" t="e">
        <f t="shared" si="33"/>
        <v>#REF!</v>
      </c>
      <c r="AT45" s="176" t="e">
        <f t="shared" ca="1" si="34"/>
        <v>#NAME?</v>
      </c>
      <c r="AU45" s="176" t="e">
        <f t="shared" ca="1" si="35"/>
        <v>#NAME?</v>
      </c>
      <c r="AV45" s="176" t="e">
        <f t="shared" si="13"/>
        <v>#REF!</v>
      </c>
      <c r="AW45" s="176" t="e">
        <f t="shared" si="14"/>
        <v>#REF!</v>
      </c>
      <c r="AX45" s="4" t="e">
        <f t="shared" ca="1" si="36"/>
        <v>#REF!</v>
      </c>
    </row>
    <row r="46" spans="1:51" s="4" customFormat="1" x14ac:dyDescent="0.2">
      <c r="A46" s="214" t="s">
        <v>100</v>
      </c>
      <c r="B46" s="216" t="s">
        <v>362</v>
      </c>
      <c r="C46" s="189">
        <v>742.2</v>
      </c>
      <c r="D46" s="164"/>
      <c r="E46" s="199">
        <v>29.7</v>
      </c>
      <c r="F46" s="276">
        <v>0</v>
      </c>
      <c r="G46" s="273">
        <v>2564.5700000000002</v>
      </c>
      <c r="H46" s="293">
        <v>0</v>
      </c>
      <c r="I46" s="295"/>
      <c r="J46" s="294">
        <v>0</v>
      </c>
      <c r="K46" s="273">
        <v>37.74</v>
      </c>
      <c r="L46" s="296"/>
      <c r="M46" s="273">
        <v>40</v>
      </c>
      <c r="N46" s="297">
        <v>40</v>
      </c>
      <c r="O46" s="295"/>
      <c r="P46" s="273">
        <v>32.5</v>
      </c>
      <c r="Q46" s="297">
        <v>700</v>
      </c>
      <c r="R46" s="302">
        <v>140</v>
      </c>
      <c r="S46" s="273">
        <v>566.39</v>
      </c>
      <c r="T46" s="273">
        <v>77.489999999999995</v>
      </c>
      <c r="U46" s="273">
        <v>77.489999999999995</v>
      </c>
      <c r="V46" s="287">
        <f t="shared" si="15"/>
        <v>4190.6499999999996</v>
      </c>
      <c r="W46" s="172">
        <f t="shared" si="12"/>
        <v>4932.8499999999995</v>
      </c>
      <c r="X46" s="172" t="e">
        <f>$Y$32 + IF($B$2="mil",1,0.0254)*DDR2Specs!$E$9</f>
        <v>#REF!</v>
      </c>
      <c r="Y46" s="172" t="e">
        <f>$X$32 + IF($B$2="mil",1,0.0254)*DDR2Specs!$F$9</f>
        <v>#REF!</v>
      </c>
      <c r="Z46" s="173" t="e">
        <f t="shared" si="16"/>
        <v>#REF!</v>
      </c>
      <c r="AA46" s="174" t="e">
        <f>IF($W46&gt;$Y46,$W46-$Y46,"Pass")</f>
        <v>#REF!</v>
      </c>
      <c r="AB46" s="287">
        <f t="shared" si="18"/>
        <v>4190.6499999999996</v>
      </c>
      <c r="AC46" s="172">
        <f t="shared" si="19"/>
        <v>4932.8499999999995</v>
      </c>
      <c r="AD46" s="172" t="e">
        <f>$AE$32 + IF($B$2="mil",1,0.0254)*DDR2Specs!$E$9</f>
        <v>#REF!</v>
      </c>
      <c r="AE46" s="172" t="e">
        <f>$AD$32 + IF($B$2="mil",1,0.0254)*DDR2Specs!$F$9</f>
        <v>#REF!</v>
      </c>
      <c r="AF46" s="173" t="e">
        <f t="shared" si="20"/>
        <v>#REF!</v>
      </c>
      <c r="AG46" s="174" t="e">
        <f t="shared" si="21"/>
        <v>#REF!</v>
      </c>
      <c r="AH46" s="175" t="e">
        <f t="shared" si="22"/>
        <v>#REF!</v>
      </c>
      <c r="AI46" s="176" t="e">
        <f t="shared" si="23"/>
        <v>#REF!</v>
      </c>
      <c r="AJ46" s="176" t="e">
        <f t="shared" si="24"/>
        <v>#REF!</v>
      </c>
      <c r="AK46" s="176" t="e">
        <f t="shared" si="25"/>
        <v>#REF!</v>
      </c>
      <c r="AL46" s="176" t="e">
        <f t="shared" ca="1" si="26"/>
        <v>#NAME?</v>
      </c>
      <c r="AM46" s="176" t="e">
        <f t="shared" si="27"/>
        <v>#REF!</v>
      </c>
      <c r="AN46" s="176" t="e">
        <f t="shared" si="28"/>
        <v>#REF!</v>
      </c>
      <c r="AO46" s="176" t="e">
        <f t="shared" si="29"/>
        <v>#REF!</v>
      </c>
      <c r="AP46" s="176" t="e">
        <f t="shared" si="30"/>
        <v>#REF!</v>
      </c>
      <c r="AQ46" s="176" t="e">
        <f t="shared" si="31"/>
        <v>#REF!</v>
      </c>
      <c r="AR46" s="176" t="e">
        <f t="shared" si="32"/>
        <v>#REF!</v>
      </c>
      <c r="AS46" s="176" t="e">
        <f t="shared" si="33"/>
        <v>#REF!</v>
      </c>
      <c r="AT46" s="176" t="e">
        <f t="shared" ca="1" si="34"/>
        <v>#NAME?</v>
      </c>
      <c r="AU46" s="176" t="e">
        <f t="shared" ca="1" si="35"/>
        <v>#NAME?</v>
      </c>
      <c r="AV46" s="176" t="e">
        <f t="shared" si="13"/>
        <v>#REF!</v>
      </c>
      <c r="AW46" s="176" t="e">
        <f t="shared" si="14"/>
        <v>#REF!</v>
      </c>
      <c r="AX46" s="4" t="e">
        <f t="shared" ca="1" si="36"/>
        <v>#REF!</v>
      </c>
    </row>
    <row r="47" spans="1:51" s="4" customFormat="1" x14ac:dyDescent="0.2">
      <c r="A47" s="214" t="s">
        <v>101</v>
      </c>
      <c r="B47" s="216" t="s">
        <v>363</v>
      </c>
      <c r="C47" s="189">
        <v>502</v>
      </c>
      <c r="D47" s="164"/>
      <c r="E47" s="199">
        <v>29.7</v>
      </c>
      <c r="F47" s="276">
        <v>0</v>
      </c>
      <c r="G47" s="273">
        <v>2464.5700000000002</v>
      </c>
      <c r="H47" s="293">
        <v>0</v>
      </c>
      <c r="I47" s="295"/>
      <c r="J47" s="294">
        <v>0</v>
      </c>
      <c r="K47" s="273">
        <v>37.74</v>
      </c>
      <c r="L47" s="296"/>
      <c r="M47" s="273">
        <v>40</v>
      </c>
      <c r="N47" s="297">
        <v>40</v>
      </c>
      <c r="O47" s="295"/>
      <c r="P47" s="273">
        <v>32.5</v>
      </c>
      <c r="Q47" s="297">
        <v>700</v>
      </c>
      <c r="R47" s="302">
        <v>120</v>
      </c>
      <c r="S47" s="273">
        <v>566.39</v>
      </c>
      <c r="T47" s="273">
        <v>77.489999999999995</v>
      </c>
      <c r="U47" s="273">
        <v>77.489999999999995</v>
      </c>
      <c r="V47" s="287">
        <f t="shared" si="15"/>
        <v>4070.6499999999996</v>
      </c>
      <c r="W47" s="172">
        <f t="shared" si="12"/>
        <v>4572.6499999999996</v>
      </c>
      <c r="X47" s="172" t="e">
        <f>$Y$32 + IF($B$2="mil",1,0.0254)*DDR2Specs!$E$9</f>
        <v>#REF!</v>
      </c>
      <c r="Y47" s="172" t="e">
        <f>$X$32 + IF($B$2="mil",1,0.0254)*DDR2Specs!$F$9</f>
        <v>#REF!</v>
      </c>
      <c r="Z47" s="173" t="e">
        <f t="shared" si="16"/>
        <v>#REF!</v>
      </c>
      <c r="AA47" s="174" t="e">
        <f>IF($W47&gt;$Y47,$W47-$Y47,"Pass")</f>
        <v>#REF!</v>
      </c>
      <c r="AB47" s="287">
        <f t="shared" si="18"/>
        <v>4070.6499999999996</v>
      </c>
      <c r="AC47" s="172">
        <f t="shared" si="19"/>
        <v>4572.6499999999996</v>
      </c>
      <c r="AD47" s="172" t="e">
        <f>$AE$32 + IF($B$2="mil",1,0.0254)*DDR2Specs!$E$9</f>
        <v>#REF!</v>
      </c>
      <c r="AE47" s="172" t="e">
        <f>$AD$32 + IF($B$2="mil",1,0.0254)*DDR2Specs!$F$9</f>
        <v>#REF!</v>
      </c>
      <c r="AF47" s="173" t="e">
        <f t="shared" si="20"/>
        <v>#REF!</v>
      </c>
      <c r="AG47" s="174" t="e">
        <f t="shared" si="21"/>
        <v>#REF!</v>
      </c>
      <c r="AH47" s="175" t="e">
        <f t="shared" si="22"/>
        <v>#REF!</v>
      </c>
      <c r="AI47" s="176" t="e">
        <f t="shared" si="23"/>
        <v>#REF!</v>
      </c>
      <c r="AJ47" s="176" t="e">
        <f t="shared" si="24"/>
        <v>#REF!</v>
      </c>
      <c r="AK47" s="176" t="e">
        <f t="shared" si="25"/>
        <v>#REF!</v>
      </c>
      <c r="AL47" s="176" t="e">
        <f t="shared" ca="1" si="26"/>
        <v>#NAME?</v>
      </c>
      <c r="AM47" s="176" t="e">
        <f t="shared" si="27"/>
        <v>#REF!</v>
      </c>
      <c r="AN47" s="176" t="e">
        <f t="shared" si="28"/>
        <v>#REF!</v>
      </c>
      <c r="AO47" s="176" t="e">
        <f t="shared" si="29"/>
        <v>#REF!</v>
      </c>
      <c r="AP47" s="176" t="e">
        <f t="shared" si="30"/>
        <v>#REF!</v>
      </c>
      <c r="AQ47" s="176" t="e">
        <f t="shared" si="31"/>
        <v>#REF!</v>
      </c>
      <c r="AR47" s="176" t="e">
        <f t="shared" si="32"/>
        <v>#REF!</v>
      </c>
      <c r="AS47" s="176" t="e">
        <f t="shared" si="33"/>
        <v>#REF!</v>
      </c>
      <c r="AT47" s="176" t="e">
        <f t="shared" ca="1" si="34"/>
        <v>#NAME?</v>
      </c>
      <c r="AU47" s="176" t="e">
        <f t="shared" ca="1" si="35"/>
        <v>#NAME?</v>
      </c>
      <c r="AV47" s="176" t="e">
        <f t="shared" si="13"/>
        <v>#REF!</v>
      </c>
      <c r="AW47" s="176" t="e">
        <f t="shared" si="14"/>
        <v>#REF!</v>
      </c>
      <c r="AX47" s="4" t="e">
        <f t="shared" ca="1" si="36"/>
        <v>#REF!</v>
      </c>
    </row>
    <row r="48" spans="1:51" s="4" customFormat="1" ht="11.25" x14ac:dyDescent="0.2">
      <c r="A48" s="180" t="s">
        <v>278</v>
      </c>
      <c r="B48" s="180"/>
      <c r="C48" s="180"/>
      <c r="D48" s="155"/>
      <c r="E48" s="134"/>
      <c r="F48" s="181"/>
      <c r="G48" s="298"/>
      <c r="H48" s="298"/>
      <c r="I48" s="299"/>
      <c r="J48" s="298"/>
      <c r="K48" s="298"/>
      <c r="L48" s="298"/>
      <c r="M48" s="298"/>
      <c r="N48" s="298"/>
      <c r="O48" s="300"/>
      <c r="P48" s="298"/>
      <c r="Q48" s="298"/>
      <c r="R48" s="298"/>
      <c r="S48" s="298"/>
      <c r="T48" s="298"/>
      <c r="U48" s="298"/>
      <c r="V48" s="184"/>
      <c r="W48" s="184"/>
      <c r="X48" s="184"/>
      <c r="Y48" s="184"/>
      <c r="Z48" s="187"/>
      <c r="AA48" s="187"/>
      <c r="AB48" s="187"/>
      <c r="AC48" s="187"/>
      <c r="AD48" s="187"/>
      <c r="AE48" s="187"/>
      <c r="AF48" s="187"/>
      <c r="AG48" s="187"/>
      <c r="AH48" s="187"/>
      <c r="AI48" s="186"/>
      <c r="AJ48" s="159"/>
      <c r="AK48" s="159"/>
      <c r="AL48" s="159"/>
      <c r="AM48" s="159"/>
      <c r="AN48" s="159"/>
      <c r="AO48" s="159"/>
      <c r="AP48" s="159"/>
      <c r="AQ48" s="159"/>
      <c r="AR48" s="159"/>
      <c r="AS48" s="159"/>
      <c r="AT48" s="159"/>
      <c r="AU48" s="159"/>
      <c r="AV48" s="159"/>
      <c r="AW48" s="187"/>
    </row>
    <row r="49" spans="1:51" s="4" customFormat="1" x14ac:dyDescent="0.2">
      <c r="A49" s="161" t="s">
        <v>102</v>
      </c>
      <c r="B49" s="216" t="s">
        <v>346</v>
      </c>
      <c r="C49" s="189">
        <v>313.34645669291302</v>
      </c>
      <c r="D49" s="164"/>
      <c r="E49" s="199">
        <v>29.7</v>
      </c>
      <c r="F49" s="199">
        <v>0</v>
      </c>
      <c r="G49" s="273">
        <v>2650.64</v>
      </c>
      <c r="H49" s="301"/>
      <c r="I49" s="295"/>
      <c r="J49" s="301"/>
      <c r="K49" s="297">
        <v>40</v>
      </c>
      <c r="L49" s="296"/>
      <c r="M49" s="297">
        <v>32.909999999999997</v>
      </c>
      <c r="N49" s="297">
        <v>40</v>
      </c>
      <c r="O49" s="295"/>
      <c r="P49" s="297">
        <v>36.130000000000003</v>
      </c>
      <c r="Q49" s="297">
        <v>600</v>
      </c>
      <c r="R49" s="302">
        <v>40.28</v>
      </c>
      <c r="S49" s="273">
        <v>570.59</v>
      </c>
      <c r="T49" s="297">
        <v>72.239999999999995</v>
      </c>
      <c r="U49" s="297">
        <v>72.239999999999995</v>
      </c>
      <c r="V49" s="287">
        <f>SUM($E49:$H49,$M49,$N49,$P49,$Q49,$R49,$S49,$T49)</f>
        <v>4072.49</v>
      </c>
      <c r="W49" s="172">
        <f>$V49+$C49</f>
        <v>4385.8364566929131</v>
      </c>
      <c r="X49" s="172" t="e">
        <f>$Y$32 + IF($B$2="mil",1,0.0254)*DDR2Specs!$E$9</f>
        <v>#REF!</v>
      </c>
      <c r="Y49" s="172" t="e">
        <f>$X$32 + IF($B$2="mil",1,0.0254)*DDR2Specs!$F$9</f>
        <v>#REF!</v>
      </c>
      <c r="Z49" s="173" t="e">
        <f>IF($W49&lt;$X49,$X49-$W49,"Pass")</f>
        <v>#REF!</v>
      </c>
      <c r="AA49" s="174" t="e">
        <f>IF($W49&gt;$Y49,$W49-$Y49,"Pass")</f>
        <v>#REF!</v>
      </c>
      <c r="AB49" s="287">
        <f t="shared" si="18"/>
        <v>4072.49</v>
      </c>
      <c r="AC49" s="172">
        <f t="shared" si="19"/>
        <v>4385.8364566929131</v>
      </c>
      <c r="AD49" s="172" t="e">
        <f>$AE$32 + IF($B$2="mil",1,0.0254)*DDR2Specs!$E$9</f>
        <v>#REF!</v>
      </c>
      <c r="AE49" s="172" t="e">
        <f>$AD$32 + IF($B$2="mil",1,0.0254)*DDR2Specs!$F$9</f>
        <v>#REF!</v>
      </c>
      <c r="AF49" s="173" t="e">
        <f t="shared" si="20"/>
        <v>#REF!</v>
      </c>
      <c r="AG49" s="174" t="e">
        <f t="shared" si="21"/>
        <v>#REF!</v>
      </c>
      <c r="AH49" s="175" t="e">
        <f t="shared" si="22"/>
        <v>#REF!</v>
      </c>
      <c r="AI49" s="176" t="e">
        <f t="shared" si="23"/>
        <v>#REF!</v>
      </c>
      <c r="AJ49" s="176" t="e">
        <f t="shared" si="24"/>
        <v>#REF!</v>
      </c>
      <c r="AK49" s="176" t="e">
        <f t="shared" si="25"/>
        <v>#REF!</v>
      </c>
      <c r="AL49" s="176" t="e">
        <f t="shared" ca="1" si="26"/>
        <v>#NAME?</v>
      </c>
      <c r="AM49" s="176" t="e">
        <f>IF(M49&lt;=IF($B$2="mil",1,0.0254)*125,"Pass",IF($B$2="mil",1,0.0254)*125-M49)</f>
        <v>#REF!</v>
      </c>
      <c r="AN49" s="176" t="e">
        <f>IF(P49&lt;=IF($B$2="mil",1,0.0254)*125,"Pass",IF($B$2="mil",1,0.0254)*125-P49)</f>
        <v>#REF!</v>
      </c>
      <c r="AO49" s="176" t="e">
        <f>IF(Q49&lt;=IF($B$2="mil",1,0.0254)*1000,"Pass",IF($B$2="mil",1,0.0254)*1000-Q49)</f>
        <v>#REF!</v>
      </c>
      <c r="AP49" s="176" t="e">
        <f>IF(R49&lt;=IF($B$2="mil",1,0.0254)*750,"Pass",IF($B$2="mil",1,0.0254)*750-R49)</f>
        <v>#REF!</v>
      </c>
      <c r="AQ49" s="176" t="e">
        <f>IF(MAX(R49,S101)-MIN(R49,S101)&lt;=IF($B$2="mil",1,0.0254)*50,"Pass",MAX(R49,S101)-MIN(R49,S101)-IF($B$2="mil",1,0.0254)*50)</f>
        <v>#REF!</v>
      </c>
      <c r="AR49" s="176" t="e">
        <f t="shared" si="32"/>
        <v>#REF!</v>
      </c>
      <c r="AS49" s="176" t="e">
        <f>IF(MAX(S49,S127)-MIN(S49,S127)&lt;=IF($B$2="mil",1,0.0254)*50,"Pass",MAX(S49,S127)-MIN(S49,S127)-IF($B$2="mil",1,0.0254)*50)</f>
        <v>#REF!</v>
      </c>
      <c r="AT49" s="176" t="e">
        <f ca="1">CheckLength2(1400,S49,T49,0)</f>
        <v>#NAME?</v>
      </c>
      <c r="AU49" s="176" t="e">
        <f ca="1">CheckLength2(1400,S49,U49,0)</f>
        <v>#NAME?</v>
      </c>
      <c r="AV49" s="176" t="e">
        <f>IF(AND($V49&gt;=IF($B$2="mil",1,0.0254)*500, $V49&lt;=IF($B$2="mil",1,0.0254)*7500),"Pass",IF($B$2="mil",1,0.0254)*7500-$V49)</f>
        <v>#REF!</v>
      </c>
      <c r="AW49" s="176" t="e">
        <f>IF(AND($W49&gt;=IF($B$2="mil",1,0.0254)*500, $W49&lt;=IF($B$2="mil",1,0.0254)*8000),"Pass",IF($B$2="mil",1,0.0254)*8000-$W49)</f>
        <v>#REF!</v>
      </c>
      <c r="AX49" s="4" t="e">
        <f ca="1">IF(AND(Z49="Pass",AA49="Pass",AH49="Pass",AI49="Pass",AJ49="Pass",AK49="Pass",AL49="Pass",AM49="Pass",AN49="Pass",AO49="Pass",AP49="Pass",AQ49="Pass",AR49="Pass",AS49="Pass",AT49="Pass",AV49="Pass",AW49="Pass"),"Pass","Fail")</f>
        <v>#REF!</v>
      </c>
    </row>
    <row r="50" spans="1:51" s="4" customFormat="1" x14ac:dyDescent="0.2">
      <c r="A50" s="215" t="s">
        <v>103</v>
      </c>
      <c r="B50" s="216" t="s">
        <v>347</v>
      </c>
      <c r="C50" s="189">
        <v>357.48031496062998</v>
      </c>
      <c r="D50" s="236"/>
      <c r="E50" s="199">
        <v>29.7</v>
      </c>
      <c r="F50" s="286">
        <v>0</v>
      </c>
      <c r="G50" s="273">
        <v>2422.4699999999998</v>
      </c>
      <c r="H50" s="301">
        <v>0</v>
      </c>
      <c r="I50" s="295"/>
      <c r="J50" s="301">
        <v>0</v>
      </c>
      <c r="K50" s="297">
        <v>37.5</v>
      </c>
      <c r="L50" s="296"/>
      <c r="M50" s="297">
        <v>37.5</v>
      </c>
      <c r="N50" s="297">
        <v>40</v>
      </c>
      <c r="O50" s="295"/>
      <c r="P50" s="297">
        <v>40.5</v>
      </c>
      <c r="Q50" s="297">
        <v>600</v>
      </c>
      <c r="R50" s="302">
        <v>313.86</v>
      </c>
      <c r="S50" s="273">
        <v>585.74</v>
      </c>
      <c r="T50" s="297">
        <v>51.87</v>
      </c>
      <c r="U50" s="297">
        <v>51.87</v>
      </c>
      <c r="V50" s="287">
        <f>SUM($E50:$H50,$M50,$N50,$P50,$Q50,$R50,$S50,$T50)</f>
        <v>4121.6399999999994</v>
      </c>
      <c r="W50" s="172">
        <f>$V50+$C50</f>
        <v>4479.120314960629</v>
      </c>
      <c r="X50" s="172" t="e">
        <f>$Y$32 + IF($B$2="mil",1,0.0254)*DDR2Specs!$E$9</f>
        <v>#REF!</v>
      </c>
      <c r="Y50" s="172" t="e">
        <f>$X$32 + IF($B$2="mil",1,0.0254)*DDR2Specs!$F$9</f>
        <v>#REF!</v>
      </c>
      <c r="Z50" s="173" t="e">
        <f>IF($W50&lt;$X50,$X50-$W50,"Pass")</f>
        <v>#REF!</v>
      </c>
      <c r="AA50" s="174" t="e">
        <f>IF($W50&gt;$Y50,$W50-$Y50,"Pass")</f>
        <v>#REF!</v>
      </c>
      <c r="AB50" s="287">
        <f t="shared" si="18"/>
        <v>4121.6400000000003</v>
      </c>
      <c r="AC50" s="172">
        <f t="shared" si="19"/>
        <v>4479.1203149606299</v>
      </c>
      <c r="AD50" s="172" t="e">
        <f>$AE$32 + IF($B$2="mil",1,0.0254)*DDR2Specs!$E$9</f>
        <v>#REF!</v>
      </c>
      <c r="AE50" s="172" t="e">
        <f>$AD$32 + IF($B$2="mil",1,0.0254)*DDR2Specs!$F$9</f>
        <v>#REF!</v>
      </c>
      <c r="AF50" s="173" t="e">
        <f t="shared" si="20"/>
        <v>#REF!</v>
      </c>
      <c r="AG50" s="174" t="e">
        <f t="shared" si="21"/>
        <v>#REF!</v>
      </c>
      <c r="AH50" s="175" t="e">
        <f t="shared" si="22"/>
        <v>#REF!</v>
      </c>
      <c r="AI50" s="176" t="e">
        <f t="shared" si="23"/>
        <v>#REF!</v>
      </c>
      <c r="AJ50" s="176" t="e">
        <f t="shared" si="24"/>
        <v>#REF!</v>
      </c>
      <c r="AK50" s="176" t="e">
        <f t="shared" si="25"/>
        <v>#REF!</v>
      </c>
      <c r="AL50" s="176" t="e">
        <f t="shared" ca="1" si="26"/>
        <v>#NAME?</v>
      </c>
      <c r="AM50" s="176" t="e">
        <f>IF(M50&lt;=IF($B$2="mil",1,0.0254)*125,"Pass",IF($B$2="mil",1,0.0254)*125-M50)</f>
        <v>#REF!</v>
      </c>
      <c r="AN50" s="176" t="e">
        <f>IF(P50&lt;=IF($B$2="mil",1,0.0254)*125,"Pass",IF($B$2="mil",1,0.0254)*125-P50)</f>
        <v>#REF!</v>
      </c>
      <c r="AO50" s="176" t="e">
        <f>IF(Q50&lt;=IF($B$2="mil",1,0.0254)*1000,"Pass",IF($B$2="mil",1,0.0254)*1000-Q50)</f>
        <v>#REF!</v>
      </c>
      <c r="AP50" s="176" t="e">
        <f>IF(R50&lt;=IF($B$2="mil",1,0.0254)*750,"Pass",IF($B$2="mil",1,0.0254)*750-R50)</f>
        <v>#REF!</v>
      </c>
      <c r="AQ50" s="176" t="e">
        <f>IF(MAX(R50,S102)-MIN(R50,S102)&lt;=IF($B$2="mil",1,0.0254)*50,"Pass",MAX(R50,S102)-MIN(R50,S102)-IF($B$2="mil",1,0.0254)*50)</f>
        <v>#REF!</v>
      </c>
      <c r="AR50" s="176" t="e">
        <f t="shared" si="32"/>
        <v>#REF!</v>
      </c>
      <c r="AS50" s="176" t="e">
        <f>IF(MAX(S50,S128)-MIN(S50,S128)&lt;=IF($B$2="mil",1,0.0254)*50,"Pass",MAX(S50,S128)-MIN(S50,S128)-IF($B$2="mil",1,0.0254)*50)</f>
        <v>#REF!</v>
      </c>
      <c r="AT50" s="176" t="e">
        <f ca="1">CheckLength2(1400,S50,T50,0)</f>
        <v>#NAME?</v>
      </c>
      <c r="AU50" s="176" t="e">
        <f ca="1">CheckLength2(1400,S50,U50,0)</f>
        <v>#NAME?</v>
      </c>
      <c r="AV50" s="176" t="e">
        <f>IF(AND($V50&gt;=IF($B$2="mil",1,0.0254)*500, $V50&lt;=IF($B$2="mil",1,0.0254)*7500),"Pass",IF($B$2="mil",1,0.0254)*7500-$V50)</f>
        <v>#REF!</v>
      </c>
      <c r="AW50" s="176" t="e">
        <f>IF(AND($W50&gt;=IF($B$2="mil",1,0.0254)*500, $W50&lt;=IF($B$2="mil",1,0.0254)*8000),"Pass",IF($B$2="mil",1,0.0254)*8000-$W50)</f>
        <v>#REF!</v>
      </c>
      <c r="AX50" s="4" t="e">
        <f ca="1">IF(AND(Z50="Pass",AA50="Pass",AH50="Pass",AI50="Pass",AJ50="Pass",AK50="Pass",AL50="Pass",AM50="Pass",AN50="Pass",AO50="Pass",AP50="Pass",AQ50="Pass",AR50="Pass",AS50="Pass",AT50="Pass",AV50="Pass",AW50="Pass"),"Pass","Fail")</f>
        <v>#REF!</v>
      </c>
    </row>
    <row r="51" spans="1:51" s="4" customFormat="1" x14ac:dyDescent="0.2">
      <c r="A51" s="215" t="s">
        <v>104</v>
      </c>
      <c r="B51" s="216" t="s">
        <v>348</v>
      </c>
      <c r="C51" s="189">
        <v>968.22834645669298</v>
      </c>
      <c r="D51" s="190"/>
      <c r="E51" s="199">
        <v>29.7</v>
      </c>
      <c r="F51" s="286">
        <v>0</v>
      </c>
      <c r="G51" s="273">
        <v>2101.89</v>
      </c>
      <c r="H51" s="301">
        <v>0</v>
      </c>
      <c r="I51" s="295"/>
      <c r="J51" s="301">
        <v>0</v>
      </c>
      <c r="K51" s="297">
        <v>40</v>
      </c>
      <c r="L51" s="296"/>
      <c r="M51" s="297">
        <v>46.86</v>
      </c>
      <c r="N51" s="297">
        <v>40</v>
      </c>
      <c r="O51" s="295"/>
      <c r="P51" s="297">
        <v>32.5</v>
      </c>
      <c r="Q51" s="297">
        <v>600</v>
      </c>
      <c r="R51" s="302">
        <v>477.88</v>
      </c>
      <c r="S51" s="273">
        <v>541.1</v>
      </c>
      <c r="T51" s="297">
        <v>74.75</v>
      </c>
      <c r="U51" s="297">
        <v>74.75</v>
      </c>
      <c r="V51" s="287">
        <f>SUM($E51:$H51,$M51,$N51,$P51,$Q51,$R51,$S51,$T51)</f>
        <v>3944.68</v>
      </c>
      <c r="W51" s="172">
        <f>$V51+$C51</f>
        <v>4912.9083464566929</v>
      </c>
      <c r="X51" s="172" t="e">
        <f>$Y$32 + IF($B$2="mil",1,0.0254)*DDR2Specs!$E$9</f>
        <v>#REF!</v>
      </c>
      <c r="Y51" s="172" t="e">
        <f>$X$32 + IF($B$2="mil",1,0.0254)*DDR2Specs!$F$9</f>
        <v>#REF!</v>
      </c>
      <c r="Z51" s="173" t="e">
        <f>IF($W51&lt;$X51,$X51-$W51,"Pass")</f>
        <v>#REF!</v>
      </c>
      <c r="AA51" s="174" t="e">
        <f>IF($W51&gt;$Y51,$W51-$Y51,"Pass")</f>
        <v>#REF!</v>
      </c>
      <c r="AB51" s="287">
        <f t="shared" si="18"/>
        <v>3944.68</v>
      </c>
      <c r="AC51" s="172">
        <f t="shared" si="19"/>
        <v>4912.9083464566929</v>
      </c>
      <c r="AD51" s="172" t="e">
        <f>$AE$32 + IF($B$2="mil",1,0.0254)*DDR2Specs!$E$9</f>
        <v>#REF!</v>
      </c>
      <c r="AE51" s="172" t="e">
        <f>$AD$32 + IF($B$2="mil",1,0.0254)*DDR2Specs!$F$9</f>
        <v>#REF!</v>
      </c>
      <c r="AF51" s="173" t="e">
        <f t="shared" si="20"/>
        <v>#REF!</v>
      </c>
      <c r="AG51" s="174" t="e">
        <f t="shared" si="21"/>
        <v>#REF!</v>
      </c>
      <c r="AH51" s="175" t="e">
        <f t="shared" si="22"/>
        <v>#REF!</v>
      </c>
      <c r="AI51" s="176" t="e">
        <f t="shared" si="23"/>
        <v>#REF!</v>
      </c>
      <c r="AJ51" s="176" t="e">
        <f t="shared" si="24"/>
        <v>#REF!</v>
      </c>
      <c r="AK51" s="176" t="e">
        <f t="shared" si="25"/>
        <v>#REF!</v>
      </c>
      <c r="AL51" s="176" t="e">
        <f t="shared" ca="1" si="26"/>
        <v>#NAME?</v>
      </c>
      <c r="AM51" s="176" t="e">
        <f>IF(M51&lt;=IF($B$2="mil",1,0.0254)*125,"Pass",IF($B$2="mil",1,0.0254)*125-M51)</f>
        <v>#REF!</v>
      </c>
      <c r="AN51" s="176" t="e">
        <f>IF(P51&lt;=IF($B$2="mil",1,0.0254)*125,"Pass",IF($B$2="mil",1,0.0254)*125-P51)</f>
        <v>#REF!</v>
      </c>
      <c r="AO51" s="176" t="e">
        <f>IF(Q51&lt;=IF($B$2="mil",1,0.0254)*1000,"Pass",IF($B$2="mil",1,0.0254)*1000-Q51)</f>
        <v>#REF!</v>
      </c>
      <c r="AP51" s="176" t="e">
        <f>IF(R51&lt;=IF($B$2="mil",1,0.0254)*750,"Pass",IF($B$2="mil",1,0.0254)*750-R51)</f>
        <v>#REF!</v>
      </c>
      <c r="AQ51" s="176" t="e">
        <f>IF(MAX(R51,S103)-MIN(R51,S103)&lt;=IF($B$2="mil",1,0.0254)*50,"Pass",MAX(R51,S103)-MIN(R51,S103)-IF($B$2="mil",1,0.0254)*50)</f>
        <v>#REF!</v>
      </c>
      <c r="AR51" s="176" t="e">
        <f t="shared" si="32"/>
        <v>#REF!</v>
      </c>
      <c r="AS51" s="176" t="e">
        <f>IF(MAX(S51,S129)-MIN(S51,S129)&lt;=IF($B$2="mil",1,0.0254)*50,"Pass",MAX(S51,S129)-MIN(S51,S129)-IF($B$2="mil",1,0.0254)*50)</f>
        <v>#REF!</v>
      </c>
      <c r="AT51" s="176" t="e">
        <f ca="1">CheckLength2(1400,S51,T51,0)</f>
        <v>#NAME?</v>
      </c>
      <c r="AU51" s="176" t="e">
        <f ca="1">CheckLength2(1400,S51,U51,0)</f>
        <v>#NAME?</v>
      </c>
      <c r="AV51" s="176" t="e">
        <f>IF(AND($V51&gt;=IF($B$2="mil",1,0.0254)*500, $V51&lt;=IF($B$2="mil",1,0.0254)*7500),"Pass",IF($B$2="mil",1,0.0254)*7500-$V51)</f>
        <v>#REF!</v>
      </c>
      <c r="AW51" s="176" t="e">
        <f>IF(AND($W51&gt;=IF($B$2="mil",1,0.0254)*500, $W51&lt;=IF($B$2="mil",1,0.0254)*8000),"Pass",IF($B$2="mil",1,0.0254)*8000-$W51)</f>
        <v>#REF!</v>
      </c>
      <c r="AX51" s="4" t="e">
        <f ca="1">IF(AND(Z51="Pass",AA51="Pass",AH51="Pass",AI51="Pass",AJ51="Pass",AK51="Pass",AL51="Pass",AM51="Pass",AN51="Pass",AO51="Pass",AP51="Pass",AQ51="Pass",AR51="Pass",AS51="Pass",AT51="Pass",AV51="Pass",AW51="Pass"),"Pass","Fail")</f>
        <v>#REF!</v>
      </c>
    </row>
    <row r="52" spans="1:51" s="4" customFormat="1" ht="11.25" x14ac:dyDescent="0.2">
      <c r="A52" s="180" t="s">
        <v>279</v>
      </c>
      <c r="B52" s="180"/>
      <c r="C52" s="180"/>
      <c r="D52" s="155"/>
      <c r="E52" s="134"/>
      <c r="F52" s="181"/>
      <c r="G52" s="298"/>
      <c r="H52" s="298"/>
      <c r="I52" s="299"/>
      <c r="J52" s="298"/>
      <c r="K52" s="298"/>
      <c r="L52" s="298"/>
      <c r="M52" s="298"/>
      <c r="N52" s="298"/>
      <c r="O52" s="300"/>
      <c r="P52" s="298"/>
      <c r="Q52" s="298"/>
      <c r="R52" s="298"/>
      <c r="S52" s="298"/>
      <c r="T52" s="298"/>
      <c r="U52" s="298"/>
      <c r="V52" s="184"/>
      <c r="W52" s="184"/>
      <c r="X52" s="184"/>
      <c r="Y52" s="184"/>
      <c r="Z52" s="187"/>
      <c r="AA52" s="187"/>
      <c r="AB52" s="187"/>
      <c r="AC52" s="187"/>
      <c r="AD52" s="187"/>
      <c r="AE52" s="187"/>
      <c r="AF52" s="187"/>
      <c r="AG52" s="187"/>
      <c r="AH52" s="187"/>
      <c r="AI52" s="186"/>
      <c r="AJ52" s="186"/>
      <c r="AK52" s="187"/>
      <c r="AL52" s="187"/>
      <c r="AM52" s="187"/>
      <c r="AN52" s="187"/>
      <c r="AO52" s="187"/>
      <c r="AP52" s="187"/>
      <c r="AQ52" s="187"/>
      <c r="AR52" s="187"/>
      <c r="AS52" s="187"/>
      <c r="AT52" s="187"/>
      <c r="AU52" s="187"/>
      <c r="AV52" s="187"/>
      <c r="AW52" s="187"/>
    </row>
    <row r="53" spans="1:51" s="4" customFormat="1" x14ac:dyDescent="0.2">
      <c r="A53" s="161" t="s">
        <v>106</v>
      </c>
      <c r="B53" s="162" t="s">
        <v>127</v>
      </c>
      <c r="C53" s="163">
        <v>349.5</v>
      </c>
      <c r="D53" s="164"/>
      <c r="E53" s="199">
        <v>29.7</v>
      </c>
      <c r="F53" s="286"/>
      <c r="G53" s="273">
        <v>2150.64</v>
      </c>
      <c r="H53" s="301"/>
      <c r="I53" s="295"/>
      <c r="J53" s="301"/>
      <c r="K53" s="297">
        <v>32.5</v>
      </c>
      <c r="L53" s="296"/>
      <c r="M53" s="297">
        <v>32.5</v>
      </c>
      <c r="N53" s="297">
        <v>40</v>
      </c>
      <c r="O53" s="295"/>
      <c r="P53" s="297">
        <v>33.99</v>
      </c>
      <c r="Q53" s="297">
        <v>700</v>
      </c>
      <c r="R53" s="302">
        <v>327.79</v>
      </c>
      <c r="S53" s="273">
        <v>564.66</v>
      </c>
      <c r="T53" s="297">
        <v>28.02</v>
      </c>
      <c r="U53" s="297">
        <v>28.02</v>
      </c>
      <c r="V53" s="287">
        <f>SUM($E53:$H53,$M53,$N53,$P53,$Q53,$R53,$S53,$T53)</f>
        <v>3907.2999999999993</v>
      </c>
      <c r="W53" s="172">
        <f>$V53+$C53</f>
        <v>4256.7999999999993</v>
      </c>
      <c r="X53" s="172" t="e">
        <f>$Y$32 + IF($B$2="mil",1,0.0254)*DDR2Specs!$E$9</f>
        <v>#REF!</v>
      </c>
      <c r="Y53" s="172" t="e">
        <f>$X$32 + IF($B$2="mil",1,0.0254)*DDR2Specs!$F$9</f>
        <v>#REF!</v>
      </c>
      <c r="Z53" s="173" t="e">
        <f>IF($W53&lt;$X53,$X53-$W53,"Pass")</f>
        <v>#REF!</v>
      </c>
      <c r="AA53" s="174" t="e">
        <f>IF($W53&gt;$Y53,$W53-$Y53,"Pass")</f>
        <v>#REF!</v>
      </c>
      <c r="AB53" s="287">
        <f t="shared" si="18"/>
        <v>3907.2999999999993</v>
      </c>
      <c r="AC53" s="172">
        <f t="shared" si="19"/>
        <v>4256.7999999999993</v>
      </c>
      <c r="AD53" s="172" t="e">
        <f>$AE$32 + IF($B$2="mil",1,0.0254)*DDR2Specs!$E$9</f>
        <v>#REF!</v>
      </c>
      <c r="AE53" s="172" t="e">
        <f>$AD$32 + IF($B$2="mil",1,0.0254)*DDR2Specs!$F$9</f>
        <v>#REF!</v>
      </c>
      <c r="AF53" s="173" t="e">
        <f t="shared" si="20"/>
        <v>#REF!</v>
      </c>
      <c r="AG53" s="174" t="e">
        <f t="shared" si="21"/>
        <v>#REF!</v>
      </c>
      <c r="AH53" s="175" t="e">
        <f t="shared" si="22"/>
        <v>#REF!</v>
      </c>
      <c r="AI53" s="176" t="e">
        <f t="shared" si="23"/>
        <v>#REF!</v>
      </c>
      <c r="AJ53" s="176" t="e">
        <f t="shared" si="24"/>
        <v>#REF!</v>
      </c>
      <c r="AK53" s="176" t="e">
        <f t="shared" si="25"/>
        <v>#REF!</v>
      </c>
      <c r="AL53" s="176" t="e">
        <f t="shared" ca="1" si="26"/>
        <v>#NAME?</v>
      </c>
      <c r="AM53" s="176" t="e">
        <f>IF(M53&lt;=IF($B$2="mil",1,0.0254)*125,"Pass",IF($B$2="mil",1,0.0254)*125-M53)</f>
        <v>#REF!</v>
      </c>
      <c r="AN53" s="176" t="e">
        <f>IF(P53&lt;=IF($B$2="mil",1,0.0254)*125,"Pass",IF($B$2="mil",1,0.0254)*125-P53)</f>
        <v>#REF!</v>
      </c>
      <c r="AO53" s="176" t="e">
        <f>IF(Q53&lt;=IF($B$2="mil",1,0.0254)*1000,"Pass",IF($B$2="mil",1,0.0254)*1000-Q53)</f>
        <v>#REF!</v>
      </c>
      <c r="AP53" s="176" t="e">
        <f>IF(R53&lt;=IF($B$2="mil",1,0.0254)*750,"Pass",IF($B$2="mil",1,0.0254)*750-R53)</f>
        <v>#REF!</v>
      </c>
      <c r="AQ53" s="176" t="e">
        <f>IF(MAX(R53,S105)-MIN(R53,S105)&lt;=IF($B$2="mil",1,0.0254)*50,"Pass",MAX(R53,S105)-MIN(R53,S105)-IF($B$2="mil",1,0.0254)*50)</f>
        <v>#REF!</v>
      </c>
      <c r="AR53" s="176" t="e">
        <f t="shared" si="32"/>
        <v>#REF!</v>
      </c>
      <c r="AS53" s="176" t="e">
        <f>IF(MAX(S53,S131)-MIN(S53,S131)&lt;=IF($B$2="mil",1,0.0254)*50,"Pass",MAX(S53,S131)-MIN(S53,S131)-IF($B$2="mil",1,0.0254)*50)</f>
        <v>#REF!</v>
      </c>
      <c r="AT53" s="176" t="e">
        <f ca="1">CheckLength2(1400,S53,T53,0)</f>
        <v>#NAME?</v>
      </c>
      <c r="AU53" s="176" t="e">
        <f ca="1">CheckLength2(1400,S53,U53,0)</f>
        <v>#NAME?</v>
      </c>
      <c r="AV53" s="176" t="e">
        <f>IF(AND($V53&gt;=IF($B$2="mil",1,0.0254)*500, $V53&lt;=IF($B$2="mil",1,0.0254)*7500),"Pass",IF($B$2="mil",1,0.0254)*7500-$V53)</f>
        <v>#REF!</v>
      </c>
      <c r="AW53" s="176" t="e">
        <f>IF(AND($W53&gt;=IF($B$2="mil",1,0.0254)*500, $W53&lt;=IF($B$2="mil",1,0.0254)*8000),"Pass",IF($B$2="mil",1,0.0254)*8000-$W53)</f>
        <v>#REF!</v>
      </c>
      <c r="AX53" s="4" t="e">
        <f ca="1">IF(AND(Z53="Pass",AA53="Pass",AH53="Pass",AI53="Pass",AJ53="Pass",AK53="Pass",AL53="Pass",AM53="Pass",AN53="Pass",AO53="Pass",AP53="Pass",AQ53="Pass",AR53="Pass",AS53="Pass",AT53="Pass",AV53="Pass",AW53="Pass"),"Pass","Fail")</f>
        <v>#REF!</v>
      </c>
    </row>
    <row r="54" spans="1:51" s="4" customFormat="1" x14ac:dyDescent="0.2">
      <c r="A54" s="214" t="s">
        <v>107</v>
      </c>
      <c r="B54" s="217" t="s">
        <v>349</v>
      </c>
      <c r="C54" s="177">
        <v>710.6</v>
      </c>
      <c r="D54" s="164"/>
      <c r="E54" s="199">
        <v>29.7</v>
      </c>
      <c r="F54" s="286"/>
      <c r="G54" s="273">
        <v>2222.4699999999998</v>
      </c>
      <c r="H54" s="301"/>
      <c r="I54" s="295"/>
      <c r="J54" s="301"/>
      <c r="K54" s="297">
        <v>40</v>
      </c>
      <c r="L54" s="296"/>
      <c r="M54" s="297">
        <v>90.91</v>
      </c>
      <c r="N54" s="297">
        <v>40</v>
      </c>
      <c r="O54" s="295"/>
      <c r="P54" s="297">
        <v>32.909999999999997</v>
      </c>
      <c r="Q54" s="297">
        <v>700</v>
      </c>
      <c r="R54" s="302">
        <v>251.98</v>
      </c>
      <c r="S54" s="273">
        <v>578.77</v>
      </c>
      <c r="T54" s="297">
        <v>51.88</v>
      </c>
      <c r="U54" s="297">
        <v>51.88</v>
      </c>
      <c r="V54" s="287">
        <f>SUM($E54:$H54,$M54,$N54,$P54,$Q54,$R54,$S54,$T54)</f>
        <v>3998.6199999999994</v>
      </c>
      <c r="W54" s="172">
        <f>$V54+$C54</f>
        <v>4709.2199999999993</v>
      </c>
      <c r="X54" s="172" t="e">
        <f>$Y$32 + IF($B$2="mil",1,0.0254)*DDR2Specs!$E$9</f>
        <v>#REF!</v>
      </c>
      <c r="Y54" s="172" t="e">
        <f>$X$32 + IF($B$2="mil",1,0.0254)*DDR2Specs!$F$9</f>
        <v>#REF!</v>
      </c>
      <c r="Z54" s="173" t="e">
        <f>IF($W54&lt;$X54,$X54-$W54,"Pass")</f>
        <v>#REF!</v>
      </c>
      <c r="AA54" s="174" t="e">
        <f>IF($W54&gt;$Y54,$W54-$Y54,"Pass")</f>
        <v>#REF!</v>
      </c>
      <c r="AB54" s="287">
        <f t="shared" si="18"/>
        <v>3998.6199999999994</v>
      </c>
      <c r="AC54" s="172">
        <f t="shared" si="19"/>
        <v>4709.2199999999993</v>
      </c>
      <c r="AD54" s="172" t="e">
        <f>$AE$32 + IF($B$2="mil",1,0.0254)*DDR2Specs!$E$9</f>
        <v>#REF!</v>
      </c>
      <c r="AE54" s="172" t="e">
        <f>$AD$32 + IF($B$2="mil",1,0.0254)*DDR2Specs!$F$9</f>
        <v>#REF!</v>
      </c>
      <c r="AF54" s="173" t="e">
        <f t="shared" si="20"/>
        <v>#REF!</v>
      </c>
      <c r="AG54" s="174" t="e">
        <f t="shared" si="21"/>
        <v>#REF!</v>
      </c>
      <c r="AH54" s="175" t="e">
        <f t="shared" si="22"/>
        <v>#REF!</v>
      </c>
      <c r="AI54" s="176" t="e">
        <f t="shared" si="23"/>
        <v>#REF!</v>
      </c>
      <c r="AJ54" s="176" t="e">
        <f t="shared" si="24"/>
        <v>#REF!</v>
      </c>
      <c r="AK54" s="176" t="e">
        <f t="shared" si="25"/>
        <v>#REF!</v>
      </c>
      <c r="AL54" s="176" t="e">
        <f t="shared" ca="1" si="26"/>
        <v>#NAME?</v>
      </c>
      <c r="AM54" s="176" t="e">
        <f>IF(M54&lt;=IF($B$2="mil",1,0.0254)*125,"Pass",IF($B$2="mil",1,0.0254)*125-M54)</f>
        <v>#REF!</v>
      </c>
      <c r="AN54" s="176" t="e">
        <f>IF(P54&lt;=IF($B$2="mil",1,0.0254)*125,"Pass",IF($B$2="mil",1,0.0254)*125-P54)</f>
        <v>#REF!</v>
      </c>
      <c r="AO54" s="176" t="e">
        <f>IF(Q54&lt;=IF($B$2="mil",1,0.0254)*1000,"Pass",IF($B$2="mil",1,0.0254)*1000-Q54)</f>
        <v>#REF!</v>
      </c>
      <c r="AP54" s="176" t="e">
        <f>IF(R54&lt;=IF($B$2="mil",1,0.0254)*750,"Pass",IF($B$2="mil",1,0.0254)*750-R54)</f>
        <v>#REF!</v>
      </c>
      <c r="AQ54" s="176" t="e">
        <f>IF(MAX(R54,S106)-MIN(R54,S106)&lt;=IF($B$2="mil",1,0.0254)*50,"Pass",MAX(R54,S106)-MIN(R54,S106)-IF($B$2="mil",1,0.0254)*50)</f>
        <v>#REF!</v>
      </c>
      <c r="AR54" s="176" t="e">
        <f t="shared" si="32"/>
        <v>#REF!</v>
      </c>
      <c r="AS54" s="176" t="e">
        <f>IF(MAX(S54,S132)-MIN(S54,S132)&lt;=IF($B$2="mil",1,0.0254)*50,"Pass",MAX(S54,S132)-MIN(S54,S132)-IF($B$2="mil",1,0.0254)*50)</f>
        <v>#REF!</v>
      </c>
      <c r="AT54" s="176" t="e">
        <f ca="1">CheckLength2(1400,S54,T54,0)</f>
        <v>#NAME?</v>
      </c>
      <c r="AU54" s="176" t="e">
        <f ca="1">CheckLength2(1400,S54,U54,0)</f>
        <v>#NAME?</v>
      </c>
      <c r="AV54" s="176" t="e">
        <f>IF(AND($V54&gt;=IF($B$2="mil",1,0.0254)*500, $V54&lt;=IF($B$2="mil",1,0.0254)*7500),"Pass",IF($B$2="mil",1,0.0254)*7500-$V54)</f>
        <v>#REF!</v>
      </c>
      <c r="AW54" s="176" t="e">
        <f>IF(AND($W54&gt;=IF($B$2="mil",1,0.0254)*500, $W54&lt;=IF($B$2="mil",1,0.0254)*8000),"Pass",IF($B$2="mil",1,0.0254)*8000-$W54)</f>
        <v>#REF!</v>
      </c>
      <c r="AX54" s="4" t="e">
        <f ca="1">IF(AND(Z54="Pass",AA54="Pass",AH54="Pass",AI54="Pass",AJ54="Pass",AK54="Pass",AL54="Pass",AM54="Pass",AN54="Pass",AO54="Pass",AP54="Pass",AQ54="Pass",AR54="Pass",AS54="Pass",AT54="Pass",AV54="Pass",AW54="Pass"),"Pass","Fail")</f>
        <v>#REF!</v>
      </c>
    </row>
    <row r="55" spans="1:51" s="4" customFormat="1" x14ac:dyDescent="0.2">
      <c r="A55" s="214" t="s">
        <v>108</v>
      </c>
      <c r="B55" s="217" t="s">
        <v>129</v>
      </c>
      <c r="C55" s="177">
        <v>361.7</v>
      </c>
      <c r="D55" s="178"/>
      <c r="E55" s="199">
        <v>29.7</v>
      </c>
      <c r="F55" s="286"/>
      <c r="G55" s="273">
        <v>2163.89</v>
      </c>
      <c r="H55" s="301"/>
      <c r="I55" s="295"/>
      <c r="J55" s="301"/>
      <c r="K55" s="297">
        <v>40</v>
      </c>
      <c r="L55" s="296"/>
      <c r="M55" s="297">
        <v>62.4</v>
      </c>
      <c r="N55" s="297">
        <v>40</v>
      </c>
      <c r="O55" s="295"/>
      <c r="P55" s="297">
        <v>56.86</v>
      </c>
      <c r="Q55" s="297">
        <v>700</v>
      </c>
      <c r="R55" s="302">
        <v>321.8</v>
      </c>
      <c r="S55" s="273">
        <v>574.72</v>
      </c>
      <c r="T55" s="297">
        <v>30.98</v>
      </c>
      <c r="U55" s="297">
        <v>30.98</v>
      </c>
      <c r="V55" s="287">
        <f>SUM($E55:$H55,$M55,$N55,$P55,$Q55,$R55,$S55,$T55)</f>
        <v>3980.35</v>
      </c>
      <c r="W55" s="172">
        <f>$V55+$C55</f>
        <v>4342.05</v>
      </c>
      <c r="X55" s="172" t="e">
        <f>$Y$32 + IF($B$2="mil",1,0.0254)*DDR2Specs!$E$9</f>
        <v>#REF!</v>
      </c>
      <c r="Y55" s="172" t="e">
        <f>$X$32 + IF($B$2="mil",1,0.0254)*DDR2Specs!$F$9</f>
        <v>#REF!</v>
      </c>
      <c r="Z55" s="173" t="e">
        <f>IF($W55&lt;$X55,$X55-$W55,"Pass")</f>
        <v>#REF!</v>
      </c>
      <c r="AA55" s="174" t="e">
        <f>IF($W55&gt;$Y55,$W55-$Y55,"Pass")</f>
        <v>#REF!</v>
      </c>
      <c r="AB55" s="287">
        <f t="shared" si="18"/>
        <v>3980.35</v>
      </c>
      <c r="AC55" s="172">
        <f t="shared" si="19"/>
        <v>4342.05</v>
      </c>
      <c r="AD55" s="172" t="e">
        <f>$AE$32 + IF($B$2="mil",1,0.0254)*DDR2Specs!$E$9</f>
        <v>#REF!</v>
      </c>
      <c r="AE55" s="172" t="e">
        <f>$AD$32 + IF($B$2="mil",1,0.0254)*DDR2Specs!$F$9</f>
        <v>#REF!</v>
      </c>
      <c r="AF55" s="173" t="e">
        <f t="shared" si="20"/>
        <v>#REF!</v>
      </c>
      <c r="AG55" s="174" t="e">
        <f t="shared" si="21"/>
        <v>#REF!</v>
      </c>
      <c r="AH55" s="175" t="e">
        <f t="shared" si="22"/>
        <v>#REF!</v>
      </c>
      <c r="AI55" s="176" t="e">
        <f t="shared" si="23"/>
        <v>#REF!</v>
      </c>
      <c r="AJ55" s="176" t="e">
        <f t="shared" si="24"/>
        <v>#REF!</v>
      </c>
      <c r="AK55" s="176" t="e">
        <f t="shared" si="25"/>
        <v>#REF!</v>
      </c>
      <c r="AL55" s="176" t="e">
        <f t="shared" ca="1" si="26"/>
        <v>#NAME?</v>
      </c>
      <c r="AM55" s="176" t="e">
        <f>IF(M55&lt;=IF($B$2="mil",1,0.0254)*125,"Pass",IF($B$2="mil",1,0.0254)*125-M55)</f>
        <v>#REF!</v>
      </c>
      <c r="AN55" s="176" t="e">
        <f>IF(P55&lt;=IF($B$2="mil",1,0.0254)*125,"Pass",IF($B$2="mil",1,0.0254)*125-P55)</f>
        <v>#REF!</v>
      </c>
      <c r="AO55" s="176" t="e">
        <f>IF(Q55&lt;=IF($B$2="mil",1,0.0254)*1000,"Pass",IF($B$2="mil",1,0.0254)*1000-Q55)</f>
        <v>#REF!</v>
      </c>
      <c r="AP55" s="176" t="e">
        <f>IF(R55&lt;=IF($B$2="mil",1,0.0254)*750,"Pass",IF($B$2="mil",1,0.0254)*750-R55)</f>
        <v>#REF!</v>
      </c>
      <c r="AQ55" s="176" t="e">
        <f>IF(MAX(R55,S107)-MIN(R55,S107)&lt;=IF($B$2="mil",1,0.0254)*50,"Pass",MAX(R55,S107)-MIN(R55,S107)-IF($B$2="mil",1,0.0254)*50)</f>
        <v>#REF!</v>
      </c>
      <c r="AR55" s="176" t="e">
        <f t="shared" si="32"/>
        <v>#REF!</v>
      </c>
      <c r="AS55" s="176" t="e">
        <f>IF(MAX(S55,S133)-MIN(S55,S133)&lt;=IF($B$2="mil",1,0.0254)*50,"Pass",MAX(S55,S133)-MIN(S55,S133)-IF($B$2="mil",1,0.0254)*50)</f>
        <v>#REF!</v>
      </c>
      <c r="AT55" s="176" t="e">
        <f ca="1">CheckLength2(1400,S55,T55,0)</f>
        <v>#NAME?</v>
      </c>
      <c r="AU55" s="176" t="e">
        <f ca="1">CheckLength2(1400,S55,U55,0)</f>
        <v>#NAME?</v>
      </c>
      <c r="AV55" s="176" t="e">
        <f>IF(AND($V55&gt;=IF($B$2="mil",1,0.0254)*500, $V55&lt;=IF($B$2="mil",1,0.0254)*7500),"Pass",IF($B$2="mil",1,0.0254)*7500-$V55)</f>
        <v>#REF!</v>
      </c>
      <c r="AW55" s="176" t="e">
        <f>IF(AND($W55&gt;=IF($B$2="mil",1,0.0254)*500, $W55&lt;=IF($B$2="mil",1,0.0254)*8000),"Pass",IF($B$2="mil",1,0.0254)*8000-$W55)</f>
        <v>#REF!</v>
      </c>
      <c r="AX55" s="4" t="e">
        <f ca="1">IF(AND(Z55="Pass",AA55="Pass",AH55="Pass",AI55="Pass",AJ55="Pass",AK55="Pass",AL55="Pass",AM55="Pass",AN55="Pass",AO55="Pass",AP55="Pass",AQ55="Pass",AR55="Pass",AS55="Pass",AT55="Pass",AV55="Pass",AW55="Pass"),"Pass","Fail")</f>
        <v>#REF!</v>
      </c>
    </row>
    <row r="56" spans="1:51" ht="22.5" x14ac:dyDescent="0.2">
      <c r="R56" s="2"/>
      <c r="S56" s="289" t="s">
        <v>79</v>
      </c>
      <c r="T56" s="290" t="s">
        <v>331</v>
      </c>
      <c r="U56" s="290" t="s">
        <v>330</v>
      </c>
      <c r="V56" s="123" t="e">
        <f>"Total MB Length to U2 (L0+L1+L2+S1+L5+Rs+L6+L7+L8-1+L10-3) ["&amp;$B$2&amp;"]"</f>
        <v>#REF!</v>
      </c>
      <c r="W56" s="123" t="e">
        <f>"Total Pad to Pin U2 (P1+L0+L1+L2+S1+L5+Rs+L6+L7+L8-1+L10-3) ["&amp;$B$2&amp;"]"</f>
        <v>#REF!</v>
      </c>
      <c r="X56" s="130" t="e">
        <f>"Target Min Length to U2
["&amp;$B$2&amp;"]"</f>
        <v>#REF!</v>
      </c>
      <c r="Y56" s="129" t="e">
        <f>"Target Max Length to U2 
["&amp;$B$2&amp;"]"</f>
        <v>#REF!</v>
      </c>
      <c r="Z56" s="131" t="e">
        <f>"Routed Too Short to U2 [" &amp;$B$2&amp;"]"</f>
        <v>#REF!</v>
      </c>
      <c r="AA56" s="130" t="e">
        <f>"Routed Too Long to U2 [" &amp;$B$2&amp;"]"</f>
        <v>#REF!</v>
      </c>
      <c r="AB56" s="123" t="e">
        <f>"Total MB Length to U6 (L0+L1+L2+S1+L5+Rs+L6+L7+L8-1+L10-4) ["&amp;$B$2&amp;"]"</f>
        <v>#REF!</v>
      </c>
      <c r="AC56" s="123" t="e">
        <f>"Total Pad to Pin U6 (P1+L0+L1+L2+S1+L5+Rs+L6+L7+L8-1+L10-4) ["&amp;$B$2&amp;"]"</f>
        <v>#REF!</v>
      </c>
      <c r="AD56" s="130" t="e">
        <f>"Target Min Length to U6
["&amp;$B$2&amp;"]"</f>
        <v>#REF!</v>
      </c>
      <c r="AE56" s="129" t="e">
        <f>"Target Max Length to U6 
["&amp;$B$2&amp;"]"</f>
        <v>#REF!</v>
      </c>
      <c r="AF56" s="131" t="e">
        <f>"Routed Too Short to U6 [" &amp;$B$2&amp;"]"</f>
        <v>#REF!</v>
      </c>
      <c r="AG56" s="130" t="e">
        <f>"Routed Too Long to U6 [" &amp;$B$2&amp;"]"</f>
        <v>#REF!</v>
      </c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192" t="s">
        <v>79</v>
      </c>
      <c r="AT56" s="132" t="e">
        <f>"L10-3 Length Test (&lt;=" &amp; IF($B$2="mil",1,0.0254)*150&amp;$B$2&amp;") or (L8-1+L10-3&lt;= "&amp;IF($B$2="mil",1,0.0254)*900&amp;$B$2&amp;")"</f>
        <v>#REF!</v>
      </c>
      <c r="AU56" s="132" t="e">
        <f>"L10-4 Length Test (&lt;=" &amp; IF($B$2="mil",1,0.0254)*150&amp;$B$2&amp;") or (L8-1+L10-4&lt;= "&amp;IF($B$2="mil",1,0.0254)*900&amp;$B$2&amp;")"</f>
        <v>#REF!</v>
      </c>
      <c r="AV56" s="129" t="e">
        <f>"Total Length to U2 (L0+L1+L2+S1+L5+Rs+L6+L7+L8-1+L10-2)Test
 ("&amp;IF($B$2="mil",1,0.0254)*500&amp;"-"&amp;IF($B$2="mil",1,0.0254)*7500&amp;IF($B$2="mil","mil","mm")&amp;")"</f>
        <v>#REF!</v>
      </c>
      <c r="AW56" s="129" t="e">
        <f>"Total Length to U2 (P1+L0+L1+L2+S1+L5+Rs+L6+L7+L8-1+L10-2) Test
 (&lt;="&amp;IF($B$2="mil",1,25.4)*8000&amp;IF($B$2="mil","mil","mm")&amp;")"</f>
        <v>#REF!</v>
      </c>
      <c r="AX56" s="2"/>
      <c r="AY56" s="2"/>
    </row>
    <row r="57" spans="1:51" x14ac:dyDescent="0.2">
      <c r="P57" t="s">
        <v>326</v>
      </c>
      <c r="R57" s="2"/>
      <c r="S57" s="134" t="s">
        <v>258</v>
      </c>
      <c r="T57" s="135"/>
      <c r="U57" s="135"/>
      <c r="V57" s="195"/>
      <c r="W57" s="195"/>
      <c r="X57" s="195"/>
      <c r="Y57" s="195"/>
      <c r="Z57" s="195"/>
      <c r="AA57" s="195"/>
      <c r="AB57" s="195"/>
      <c r="AC57" s="195"/>
      <c r="AD57" s="195"/>
      <c r="AE57" s="195"/>
      <c r="AF57" s="195"/>
      <c r="AG57" s="195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134" t="s">
        <v>258</v>
      </c>
      <c r="AT57" s="195"/>
      <c r="AU57" s="195"/>
      <c r="AV57" s="195"/>
      <c r="AW57" s="195"/>
      <c r="AX57" s="2"/>
      <c r="AY57" s="2"/>
    </row>
    <row r="58" spans="1:51" x14ac:dyDescent="0.2">
      <c r="P58" t="s">
        <v>327</v>
      </c>
      <c r="R58" s="2"/>
      <c r="S58" s="235" t="s">
        <v>262</v>
      </c>
      <c r="T58" s="143"/>
      <c r="U58" s="143"/>
      <c r="V58" s="146"/>
      <c r="W58" s="340" t="s">
        <v>275</v>
      </c>
      <c r="X58" s="151" t="e">
        <f>MIN('DDR2 Clocks - 4L'!$O$9:$O$10)</f>
        <v>#REF!</v>
      </c>
      <c r="Y58" s="209" t="e">
        <f>MAX('DDR2 Clocks - 4L'!$O$9:$O$10)</f>
        <v>#REF!</v>
      </c>
      <c r="Z58" s="151"/>
      <c r="AA58" s="149"/>
      <c r="AB58" s="146"/>
      <c r="AC58" s="340" t="s">
        <v>333</v>
      </c>
      <c r="AD58" s="151" t="e">
        <f>MIN('DDR2 Clocks - 4L'!$O$11:$O$12)</f>
        <v>#REF!</v>
      </c>
      <c r="AE58" s="209" t="e">
        <f>MAX('DDR2 Clocks - 4L'!$O$11:$O$12)</f>
        <v>#REF!</v>
      </c>
      <c r="AF58" s="151"/>
      <c r="AG58" s="149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35" t="s">
        <v>262</v>
      </c>
      <c r="AT58" s="153"/>
      <c r="AU58" s="153"/>
      <c r="AV58" s="153"/>
      <c r="AW58" s="153"/>
      <c r="AX58" s="2"/>
      <c r="AY58" s="2"/>
    </row>
    <row r="59" spans="1:51" x14ac:dyDescent="0.2">
      <c r="R59" s="2"/>
      <c r="S59" s="180" t="s">
        <v>277</v>
      </c>
      <c r="T59" s="157"/>
      <c r="U59" s="157"/>
      <c r="V59" s="158"/>
      <c r="W59" s="158"/>
      <c r="X59" s="159"/>
      <c r="Y59" s="160"/>
      <c r="Z59" s="160"/>
      <c r="AA59" s="159"/>
      <c r="AB59" s="158"/>
      <c r="AC59" s="158"/>
      <c r="AD59" s="159"/>
      <c r="AE59" s="160"/>
      <c r="AF59" s="160"/>
      <c r="AG59" s="159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180" t="s">
        <v>277</v>
      </c>
      <c r="AT59" s="159"/>
      <c r="AU59" s="159"/>
      <c r="AV59" s="159"/>
      <c r="AW59" s="159"/>
      <c r="AX59" s="2"/>
      <c r="AY59" s="2"/>
    </row>
    <row r="60" spans="1:51" x14ac:dyDescent="0.2">
      <c r="R60" s="2"/>
      <c r="S60" s="162" t="s">
        <v>244</v>
      </c>
      <c r="T60" s="273">
        <v>112.93</v>
      </c>
      <c r="U60" s="273">
        <v>112.93</v>
      </c>
      <c r="V60" s="287">
        <f t="shared" ref="V60:V73" si="37">SUM($E34:$H34,$M34,$N34,$P34,$Q34,$R34,$T60)</f>
        <v>3629.08</v>
      </c>
      <c r="W60" s="172">
        <f t="shared" ref="W60:W73" si="38">$V60+$C34</f>
        <v>4422.68</v>
      </c>
      <c r="X60" s="172" t="e">
        <f>$Y$58 + IF($B$2="mil",1,0.0254)*DDR2Specs!$E$9</f>
        <v>#REF!</v>
      </c>
      <c r="Y60" s="172" t="e">
        <f>$X$58 + IF($B$2="mil",1,0.0254)*DDR2Specs!$F$9</f>
        <v>#REF!</v>
      </c>
      <c r="Z60" s="173" t="e">
        <f>IF($W60&lt;$X60,$X60-$W60,"Pass")</f>
        <v>#REF!</v>
      </c>
      <c r="AA60" s="174" t="e">
        <f>IF($W60&gt;$Y60,$W60-$Y60,"Pass")</f>
        <v>#REF!</v>
      </c>
      <c r="AB60" s="287">
        <f>SUM($E34:$H34,$M34,$N34,$P34,$Q34,$R34,$U60)</f>
        <v>3629.08</v>
      </c>
      <c r="AC60" s="172">
        <f>$AB60+$C34</f>
        <v>4422.68</v>
      </c>
      <c r="AD60" s="172" t="e">
        <f>$AE$58 + IF($B$2="mil",1,0.0254)*DDR2Specs!$E$9</f>
        <v>#REF!</v>
      </c>
      <c r="AE60" s="172" t="e">
        <f>$AD$58 + IF($B$2="mil",1,0.0254)*DDR2Specs!$F$9</f>
        <v>#REF!</v>
      </c>
      <c r="AF60" s="173" t="e">
        <f>IF($AC60&lt;$AD60,$AD60-$AC60,"Pass")</f>
        <v>#REF!</v>
      </c>
      <c r="AG60" s="174" t="e">
        <f>IF($AC60&gt;$AE60,$AC60-$AE60,"Pass")</f>
        <v>#REF!</v>
      </c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161" t="s">
        <v>244</v>
      </c>
      <c r="AT60" s="176" t="e">
        <f ca="1">CheckLength2(900,R34,T60,0)</f>
        <v>#NAME?</v>
      </c>
      <c r="AU60" s="176" t="e">
        <f ca="1">CheckLength2(900,R34,U60,0)</f>
        <v>#NAME?</v>
      </c>
      <c r="AV60" s="176" t="e">
        <f t="shared" ref="AV60:AV73" si="39">IF(AND(V60&gt;=IF($B$2="mil",1,0.0254)*500, $V60&lt;=IF($B$2="mil",1,0.0254)*7500),"Pass",IF($B$2="mil",1,0.0254)*7500-$V60)</f>
        <v>#REF!</v>
      </c>
      <c r="AW60" s="307" t="e">
        <f t="shared" ref="AW60:AW73" si="40">IF(AND($W60&gt;=IF($B$2="mil",1,0.0254)*500, $W60&lt;=IF($B$2="mil",1,0.0254)*8000),"Pass",IF($B$2="mil",1,0.0254)*8000-$W60)</f>
        <v>#REF!</v>
      </c>
      <c r="AX60" s="4" t="e">
        <f ca="1">IF(AND(Z60="Pass",AA60="Pass",AT60="Pass",AV60="Pass",AW60="Pass"),"Pass","Fail")</f>
        <v>#REF!</v>
      </c>
      <c r="AY60" s="4" t="e">
        <f ca="1">IF(AND(AX60="Pass",AX61="Pass",AX62="Pass",AX63="Pass",AX64="Pass",AX65="Pass",AX65="Pass",AX66="Pass",AX67="Pass",AX68="Pass",AX69="Pass",AX70="Pass"),"Pass","Fail")</f>
        <v>#REF!</v>
      </c>
    </row>
    <row r="61" spans="1:51" x14ac:dyDescent="0.2">
      <c r="P61" t="s">
        <v>299</v>
      </c>
      <c r="R61" s="2"/>
      <c r="S61" s="217" t="s">
        <v>87</v>
      </c>
      <c r="T61" s="273">
        <v>93.83</v>
      </c>
      <c r="U61" s="273">
        <v>93.83</v>
      </c>
      <c r="V61" s="287">
        <f t="shared" si="37"/>
        <v>3430.44</v>
      </c>
      <c r="W61" s="172">
        <f t="shared" si="38"/>
        <v>4100.74</v>
      </c>
      <c r="X61" s="172" t="e">
        <f>$Y$58 + IF($B$2="mil",1,0.0254)*DDR2Specs!$E$9</f>
        <v>#REF!</v>
      </c>
      <c r="Y61" s="172" t="e">
        <f>$X$58 + IF($B$2="mil",1,0.0254)*DDR2Specs!$F$9</f>
        <v>#REF!</v>
      </c>
      <c r="Z61" s="173" t="e">
        <f t="shared" ref="Z61:Z73" si="41">IF($W61&lt;$X61,$X61-$W61,"Pass")</f>
        <v>#REF!</v>
      </c>
      <c r="AA61" s="174" t="e">
        <f t="shared" ref="AA61:AA73" si="42">IF($W61&gt;$Y61,$W61-$Y61,"Pass")</f>
        <v>#REF!</v>
      </c>
      <c r="AB61" s="287">
        <f t="shared" ref="AB61:AB81" si="43">SUM($E35:$H35,$M35,$N35,$P35,$Q35,$R35,$U61)</f>
        <v>3430.44</v>
      </c>
      <c r="AC61" s="172">
        <f t="shared" ref="AC61:AC81" si="44">$AB61+$C35</f>
        <v>4100.74</v>
      </c>
      <c r="AD61" s="172" t="e">
        <f>$AE$58 + IF($B$2="mil",1,0.0254)*DDR2Specs!$E$9</f>
        <v>#REF!</v>
      </c>
      <c r="AE61" s="172" t="e">
        <f>$AD$58 + IF($B$2="mil",1,0.0254)*DDR2Specs!$F$9</f>
        <v>#REF!</v>
      </c>
      <c r="AF61" s="173" t="e">
        <f t="shared" ref="AF61:AF81" si="45">IF($AC61&lt;$AD61,$AD61-$AC61,"Pass")</f>
        <v>#REF!</v>
      </c>
      <c r="AG61" s="174" t="e">
        <f t="shared" ref="AG61:AG81" si="46">IF($AC61&gt;$AE61,$AC61-$AE61,"Pass")</f>
        <v>#REF!</v>
      </c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14" t="s">
        <v>87</v>
      </c>
      <c r="AT61" s="176" t="e">
        <f t="shared" ref="AT61:AT73" ca="1" si="47">CheckLength2(900,R35,T61,0)</f>
        <v>#NAME?</v>
      </c>
      <c r="AU61" s="176" t="e">
        <f t="shared" ref="AU61:AU73" ca="1" si="48">CheckLength2(900,R35,U61,0)</f>
        <v>#NAME?</v>
      </c>
      <c r="AV61" s="176" t="e">
        <f t="shared" si="39"/>
        <v>#REF!</v>
      </c>
      <c r="AW61" s="307" t="e">
        <f t="shared" si="40"/>
        <v>#REF!</v>
      </c>
      <c r="AX61" s="4" t="e">
        <f t="shared" ref="AX61:AX81" ca="1" si="49">IF(AND(Z61="Pass",AA61="Pass",AT61="Pass",AV61="Pass",AW61="Pass"),"Pass","Fail")</f>
        <v>#REF!</v>
      </c>
      <c r="AY61" s="4" t="e">
        <f ca="1">IF(AND(AX71="Pass",AX72="Pass",AX73="Pass",AX75="Pass",AX76="Pass",AX77="Pass",AX79="Pass",AX80="Pass",AX81="Pass"),"Pass","Fail")</f>
        <v>#REF!</v>
      </c>
    </row>
    <row r="62" spans="1:51" x14ac:dyDescent="0.2">
      <c r="R62" s="2"/>
      <c r="S62" s="217" t="s">
        <v>88</v>
      </c>
      <c r="T62" s="273">
        <v>112.45</v>
      </c>
      <c r="U62" s="273">
        <v>112.45</v>
      </c>
      <c r="V62" s="287">
        <f t="shared" si="37"/>
        <v>3369.89</v>
      </c>
      <c r="W62" s="172">
        <f t="shared" si="38"/>
        <v>3956.49</v>
      </c>
      <c r="X62" s="172" t="e">
        <f>$Y$58 + IF($B$2="mil",1,0.0254)*DDR2Specs!$E$9</f>
        <v>#REF!</v>
      </c>
      <c r="Y62" s="172" t="e">
        <f>$X$58 + IF($B$2="mil",1,0.0254)*DDR2Specs!$F$9</f>
        <v>#REF!</v>
      </c>
      <c r="Z62" s="173" t="e">
        <f t="shared" si="41"/>
        <v>#REF!</v>
      </c>
      <c r="AA62" s="174" t="e">
        <f t="shared" si="42"/>
        <v>#REF!</v>
      </c>
      <c r="AB62" s="287">
        <f t="shared" si="43"/>
        <v>3369.89</v>
      </c>
      <c r="AC62" s="172">
        <f t="shared" si="44"/>
        <v>3956.49</v>
      </c>
      <c r="AD62" s="172" t="e">
        <f>$AE$58 + IF($B$2="mil",1,0.0254)*DDR2Specs!$E$9</f>
        <v>#REF!</v>
      </c>
      <c r="AE62" s="172" t="e">
        <f>$AD$58 + IF($B$2="mil",1,0.0254)*DDR2Specs!$F$9</f>
        <v>#REF!</v>
      </c>
      <c r="AF62" s="173" t="e">
        <f t="shared" si="45"/>
        <v>#REF!</v>
      </c>
      <c r="AG62" s="174" t="e">
        <f t="shared" si="46"/>
        <v>#REF!</v>
      </c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14" t="s">
        <v>88</v>
      </c>
      <c r="AT62" s="176" t="e">
        <f t="shared" ca="1" si="47"/>
        <v>#NAME?</v>
      </c>
      <c r="AU62" s="176" t="e">
        <f t="shared" ca="1" si="48"/>
        <v>#NAME?</v>
      </c>
      <c r="AV62" s="176" t="e">
        <f t="shared" si="39"/>
        <v>#REF!</v>
      </c>
      <c r="AW62" s="307" t="e">
        <f t="shared" si="40"/>
        <v>#REF!</v>
      </c>
      <c r="AX62" s="4" t="e">
        <f t="shared" ca="1" si="49"/>
        <v>#REF!</v>
      </c>
      <c r="AY62" s="2"/>
    </row>
    <row r="63" spans="1:51" x14ac:dyDescent="0.2">
      <c r="R63" s="2"/>
      <c r="S63" s="217" t="s">
        <v>89</v>
      </c>
      <c r="T63" s="273">
        <v>76.09</v>
      </c>
      <c r="U63" s="273">
        <v>76.09</v>
      </c>
      <c r="V63" s="287">
        <f t="shared" si="37"/>
        <v>3384.8100000000004</v>
      </c>
      <c r="W63" s="172">
        <f t="shared" si="38"/>
        <v>4369.51</v>
      </c>
      <c r="X63" s="172" t="e">
        <f>$Y$58 + IF($B$2="mil",1,0.0254)*DDR2Specs!$E$9</f>
        <v>#REF!</v>
      </c>
      <c r="Y63" s="172" t="e">
        <f>$X$58 + IF($B$2="mil",1,0.0254)*DDR2Specs!$F$9</f>
        <v>#REF!</v>
      </c>
      <c r="Z63" s="173" t="e">
        <f t="shared" si="41"/>
        <v>#REF!</v>
      </c>
      <c r="AA63" s="174" t="e">
        <f t="shared" si="42"/>
        <v>#REF!</v>
      </c>
      <c r="AB63" s="287">
        <f t="shared" si="43"/>
        <v>3384.8100000000004</v>
      </c>
      <c r="AC63" s="172">
        <f t="shared" si="44"/>
        <v>4369.51</v>
      </c>
      <c r="AD63" s="172" t="e">
        <f>$AE$58 + IF($B$2="mil",1,0.0254)*DDR2Specs!$E$9</f>
        <v>#REF!</v>
      </c>
      <c r="AE63" s="172" t="e">
        <f>$AD$58 + IF($B$2="mil",1,0.0254)*DDR2Specs!$F$9</f>
        <v>#REF!</v>
      </c>
      <c r="AF63" s="173" t="e">
        <f t="shared" si="45"/>
        <v>#REF!</v>
      </c>
      <c r="AG63" s="174" t="e">
        <f t="shared" si="46"/>
        <v>#REF!</v>
      </c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14" t="s">
        <v>89</v>
      </c>
      <c r="AT63" s="176" t="e">
        <f t="shared" ca="1" si="47"/>
        <v>#NAME?</v>
      </c>
      <c r="AU63" s="176" t="e">
        <f t="shared" ca="1" si="48"/>
        <v>#NAME?</v>
      </c>
      <c r="AV63" s="176" t="e">
        <f t="shared" si="39"/>
        <v>#REF!</v>
      </c>
      <c r="AW63" s="307" t="e">
        <f t="shared" si="40"/>
        <v>#REF!</v>
      </c>
      <c r="AX63" s="4" t="e">
        <f t="shared" ca="1" si="49"/>
        <v>#REF!</v>
      </c>
      <c r="AY63" s="2"/>
    </row>
    <row r="64" spans="1:51" x14ac:dyDescent="0.2">
      <c r="P64" t="s">
        <v>294</v>
      </c>
      <c r="R64" s="2"/>
      <c r="S64" s="217" t="s">
        <v>90</v>
      </c>
      <c r="T64" s="273">
        <v>70.48</v>
      </c>
      <c r="U64" s="273">
        <v>70.48</v>
      </c>
      <c r="V64" s="287">
        <f t="shared" si="37"/>
        <v>3249.7999999999997</v>
      </c>
      <c r="W64" s="172">
        <f t="shared" si="38"/>
        <v>3733.1</v>
      </c>
      <c r="X64" s="172" t="e">
        <f>$Y$58 + IF($B$2="mil",1,0.0254)*DDR2Specs!$E$9</f>
        <v>#REF!</v>
      </c>
      <c r="Y64" s="172" t="e">
        <f>$X$58 + IF($B$2="mil",1,0.0254)*DDR2Specs!$F$9</f>
        <v>#REF!</v>
      </c>
      <c r="Z64" s="173" t="e">
        <f t="shared" si="41"/>
        <v>#REF!</v>
      </c>
      <c r="AA64" s="174" t="e">
        <f t="shared" si="42"/>
        <v>#REF!</v>
      </c>
      <c r="AB64" s="287">
        <f t="shared" si="43"/>
        <v>3249.7999999999997</v>
      </c>
      <c r="AC64" s="172">
        <f t="shared" si="44"/>
        <v>3733.1</v>
      </c>
      <c r="AD64" s="172" t="e">
        <f>$AE$58 + IF($B$2="mil",1,0.0254)*DDR2Specs!$E$9</f>
        <v>#REF!</v>
      </c>
      <c r="AE64" s="172" t="e">
        <f>$AD$58 + IF($B$2="mil",1,0.0254)*DDR2Specs!$F$9</f>
        <v>#REF!</v>
      </c>
      <c r="AF64" s="173" t="e">
        <f t="shared" si="45"/>
        <v>#REF!</v>
      </c>
      <c r="AG64" s="174" t="e">
        <f t="shared" si="46"/>
        <v>#REF!</v>
      </c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14" t="s">
        <v>90</v>
      </c>
      <c r="AT64" s="176" t="e">
        <f t="shared" ca="1" si="47"/>
        <v>#NAME?</v>
      </c>
      <c r="AU64" s="176" t="e">
        <f t="shared" ca="1" si="48"/>
        <v>#NAME?</v>
      </c>
      <c r="AV64" s="176" t="e">
        <f t="shared" si="39"/>
        <v>#REF!</v>
      </c>
      <c r="AW64" s="307" t="e">
        <f t="shared" si="40"/>
        <v>#REF!</v>
      </c>
      <c r="AX64" s="4" t="e">
        <f t="shared" ca="1" si="49"/>
        <v>#REF!</v>
      </c>
      <c r="AY64" s="2"/>
    </row>
    <row r="65" spans="16:51" x14ac:dyDescent="0.2">
      <c r="R65" s="2"/>
      <c r="S65" s="217" t="s">
        <v>91</v>
      </c>
      <c r="T65" s="273">
        <v>45.3</v>
      </c>
      <c r="U65" s="273">
        <v>45.3</v>
      </c>
      <c r="V65" s="287">
        <f t="shared" si="37"/>
        <v>3407.94</v>
      </c>
      <c r="W65" s="172">
        <f t="shared" si="38"/>
        <v>3918.84</v>
      </c>
      <c r="X65" s="172" t="e">
        <f>$Y$58 + IF($B$2="mil",1,0.0254)*DDR2Specs!$E$9</f>
        <v>#REF!</v>
      </c>
      <c r="Y65" s="172" t="e">
        <f>$X$58 + IF($B$2="mil",1,0.0254)*DDR2Specs!$F$9</f>
        <v>#REF!</v>
      </c>
      <c r="Z65" s="173" t="e">
        <f t="shared" si="41"/>
        <v>#REF!</v>
      </c>
      <c r="AA65" s="174" t="e">
        <f t="shared" si="42"/>
        <v>#REF!</v>
      </c>
      <c r="AB65" s="287">
        <f t="shared" si="43"/>
        <v>3407.94</v>
      </c>
      <c r="AC65" s="172">
        <f t="shared" si="44"/>
        <v>3918.84</v>
      </c>
      <c r="AD65" s="172" t="e">
        <f>$AE$58 + IF($B$2="mil",1,0.0254)*DDR2Specs!$E$9</f>
        <v>#REF!</v>
      </c>
      <c r="AE65" s="172" t="e">
        <f>$AD$58 + IF($B$2="mil",1,0.0254)*DDR2Specs!$F$9</f>
        <v>#REF!</v>
      </c>
      <c r="AF65" s="173" t="e">
        <f t="shared" si="45"/>
        <v>#REF!</v>
      </c>
      <c r="AG65" s="174" t="e">
        <f t="shared" si="46"/>
        <v>#REF!</v>
      </c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14" t="s">
        <v>91</v>
      </c>
      <c r="AT65" s="176" t="e">
        <f t="shared" ca="1" si="47"/>
        <v>#NAME?</v>
      </c>
      <c r="AU65" s="176" t="e">
        <f t="shared" ca="1" si="48"/>
        <v>#NAME?</v>
      </c>
      <c r="AV65" s="176" t="e">
        <f t="shared" si="39"/>
        <v>#REF!</v>
      </c>
      <c r="AW65" s="307" t="e">
        <f t="shared" si="40"/>
        <v>#REF!</v>
      </c>
      <c r="AX65" s="4" t="e">
        <f t="shared" ca="1" si="49"/>
        <v>#REF!</v>
      </c>
      <c r="AY65" s="2"/>
    </row>
    <row r="66" spans="16:51" x14ac:dyDescent="0.2">
      <c r="R66" s="2"/>
      <c r="S66" s="217" t="s">
        <v>92</v>
      </c>
      <c r="T66" s="273">
        <v>76.069999999999993</v>
      </c>
      <c r="U66" s="273">
        <v>76.069999999999993</v>
      </c>
      <c r="V66" s="287">
        <f t="shared" si="37"/>
        <v>3460.18</v>
      </c>
      <c r="W66" s="172">
        <f t="shared" si="38"/>
        <v>3967.7799999999997</v>
      </c>
      <c r="X66" s="172" t="e">
        <f>$Y$58 + IF($B$2="mil",1,0.0254)*DDR2Specs!$E$9</f>
        <v>#REF!</v>
      </c>
      <c r="Y66" s="172" t="e">
        <f>$X$58 + IF($B$2="mil",1,0.0254)*DDR2Specs!$F$9</f>
        <v>#REF!</v>
      </c>
      <c r="Z66" s="173" t="e">
        <f t="shared" si="41"/>
        <v>#REF!</v>
      </c>
      <c r="AA66" s="174" t="e">
        <f t="shared" si="42"/>
        <v>#REF!</v>
      </c>
      <c r="AB66" s="287">
        <f t="shared" si="43"/>
        <v>3460.18</v>
      </c>
      <c r="AC66" s="172">
        <f t="shared" si="44"/>
        <v>3967.7799999999997</v>
      </c>
      <c r="AD66" s="172" t="e">
        <f>$AE$58 + IF($B$2="mil",1,0.0254)*DDR2Specs!$E$9</f>
        <v>#REF!</v>
      </c>
      <c r="AE66" s="172" t="e">
        <f>$AD$58 + IF($B$2="mil",1,0.0254)*DDR2Specs!$F$9</f>
        <v>#REF!</v>
      </c>
      <c r="AF66" s="173" t="e">
        <f t="shared" si="45"/>
        <v>#REF!</v>
      </c>
      <c r="AG66" s="174" t="e">
        <f t="shared" si="46"/>
        <v>#REF!</v>
      </c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14" t="s">
        <v>92</v>
      </c>
      <c r="AT66" s="176" t="e">
        <f t="shared" ca="1" si="47"/>
        <v>#NAME?</v>
      </c>
      <c r="AU66" s="176" t="e">
        <f t="shared" ca="1" si="48"/>
        <v>#NAME?</v>
      </c>
      <c r="AV66" s="176" t="e">
        <f t="shared" si="39"/>
        <v>#REF!</v>
      </c>
      <c r="AW66" s="307" t="e">
        <f t="shared" si="40"/>
        <v>#REF!</v>
      </c>
      <c r="AX66" s="4" t="e">
        <f t="shared" ca="1" si="49"/>
        <v>#REF!</v>
      </c>
      <c r="AY66" s="2"/>
    </row>
    <row r="67" spans="16:51" x14ac:dyDescent="0.2">
      <c r="P67" t="s">
        <v>300</v>
      </c>
      <c r="R67" s="2"/>
      <c r="S67" s="217" t="s">
        <v>94</v>
      </c>
      <c r="T67" s="273">
        <v>76.09</v>
      </c>
      <c r="U67" s="273">
        <v>76.09</v>
      </c>
      <c r="V67" s="287">
        <f t="shared" si="37"/>
        <v>3342.45</v>
      </c>
      <c r="W67" s="172">
        <f t="shared" si="38"/>
        <v>3838.0499999999997</v>
      </c>
      <c r="X67" s="172" t="e">
        <f>$Y$58 + IF($B$2="mil",1,0.0254)*DDR2Specs!$E$9</f>
        <v>#REF!</v>
      </c>
      <c r="Y67" s="172" t="e">
        <f>$X$58 + IF($B$2="mil",1,0.0254)*DDR2Specs!$F$9</f>
        <v>#REF!</v>
      </c>
      <c r="Z67" s="173" t="e">
        <f t="shared" si="41"/>
        <v>#REF!</v>
      </c>
      <c r="AA67" s="174" t="e">
        <f t="shared" si="42"/>
        <v>#REF!</v>
      </c>
      <c r="AB67" s="287">
        <f t="shared" si="43"/>
        <v>3342.45</v>
      </c>
      <c r="AC67" s="172">
        <f t="shared" si="44"/>
        <v>3838.0499999999997</v>
      </c>
      <c r="AD67" s="172" t="e">
        <f>$AE$58 + IF($B$2="mil",1,0.0254)*DDR2Specs!$E$9</f>
        <v>#REF!</v>
      </c>
      <c r="AE67" s="172" t="e">
        <f>$AD$58 + IF($B$2="mil",1,0.0254)*DDR2Specs!$F$9</f>
        <v>#REF!</v>
      </c>
      <c r="AF67" s="173" t="e">
        <f t="shared" si="45"/>
        <v>#REF!</v>
      </c>
      <c r="AG67" s="174" t="e">
        <f t="shared" si="46"/>
        <v>#REF!</v>
      </c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14" t="s">
        <v>94</v>
      </c>
      <c r="AT67" s="176" t="e">
        <f t="shared" ca="1" si="47"/>
        <v>#NAME?</v>
      </c>
      <c r="AU67" s="176" t="e">
        <f t="shared" ca="1" si="48"/>
        <v>#NAME?</v>
      </c>
      <c r="AV67" s="176" t="e">
        <f t="shared" si="39"/>
        <v>#REF!</v>
      </c>
      <c r="AW67" s="307" t="e">
        <f t="shared" si="40"/>
        <v>#REF!</v>
      </c>
      <c r="AX67" s="4" t="e">
        <f t="shared" ca="1" si="49"/>
        <v>#REF!</v>
      </c>
      <c r="AY67" s="2"/>
    </row>
    <row r="68" spans="16:51" x14ac:dyDescent="0.2">
      <c r="R68" s="2"/>
      <c r="S68" s="217" t="s">
        <v>95</v>
      </c>
      <c r="T68" s="273">
        <v>55.8</v>
      </c>
      <c r="U68" s="273">
        <v>55.8</v>
      </c>
      <c r="V68" s="287">
        <f t="shared" si="37"/>
        <v>3382.5200000000004</v>
      </c>
      <c r="W68" s="172">
        <f t="shared" si="38"/>
        <v>3946.2200000000003</v>
      </c>
      <c r="X68" s="172" t="e">
        <f>$Y$58 + IF($B$2="mil",1,0.0254)*DDR2Specs!$E$9</f>
        <v>#REF!</v>
      </c>
      <c r="Y68" s="172" t="e">
        <f>$X$58 + IF($B$2="mil",1,0.0254)*DDR2Specs!$F$9</f>
        <v>#REF!</v>
      </c>
      <c r="Z68" s="173" t="e">
        <f t="shared" si="41"/>
        <v>#REF!</v>
      </c>
      <c r="AA68" s="174" t="e">
        <f t="shared" si="42"/>
        <v>#REF!</v>
      </c>
      <c r="AB68" s="287">
        <f t="shared" si="43"/>
        <v>3382.5200000000004</v>
      </c>
      <c r="AC68" s="172">
        <f t="shared" si="44"/>
        <v>3946.2200000000003</v>
      </c>
      <c r="AD68" s="172" t="e">
        <f>$AE$58 + IF($B$2="mil",1,0.0254)*DDR2Specs!$E$9</f>
        <v>#REF!</v>
      </c>
      <c r="AE68" s="172" t="e">
        <f>$AD$58 + IF($B$2="mil",1,0.0254)*DDR2Specs!$F$9</f>
        <v>#REF!</v>
      </c>
      <c r="AF68" s="173" t="e">
        <f t="shared" si="45"/>
        <v>#REF!</v>
      </c>
      <c r="AG68" s="174" t="e">
        <f t="shared" si="46"/>
        <v>#REF!</v>
      </c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14" t="s">
        <v>95</v>
      </c>
      <c r="AT68" s="176" t="e">
        <f t="shared" ca="1" si="47"/>
        <v>#NAME?</v>
      </c>
      <c r="AU68" s="176" t="e">
        <f t="shared" ca="1" si="48"/>
        <v>#NAME?</v>
      </c>
      <c r="AV68" s="176" t="e">
        <f t="shared" si="39"/>
        <v>#REF!</v>
      </c>
      <c r="AW68" s="307" t="e">
        <f t="shared" si="40"/>
        <v>#REF!</v>
      </c>
      <c r="AX68" s="4" t="e">
        <f t="shared" ca="1" si="49"/>
        <v>#REF!</v>
      </c>
      <c r="AY68" s="2"/>
    </row>
    <row r="69" spans="16:51" x14ac:dyDescent="0.2">
      <c r="R69" s="2"/>
      <c r="S69" s="217" t="s">
        <v>96</v>
      </c>
      <c r="T69" s="273">
        <v>73.59</v>
      </c>
      <c r="U69" s="273">
        <v>73.59</v>
      </c>
      <c r="V69" s="287">
        <f t="shared" si="37"/>
        <v>3648.3599999999997</v>
      </c>
      <c r="W69" s="172">
        <f t="shared" si="38"/>
        <v>4477.66</v>
      </c>
      <c r="X69" s="172" t="e">
        <f>$Y$58 + IF($B$2="mil",1,0.0254)*DDR2Specs!$E$9</f>
        <v>#REF!</v>
      </c>
      <c r="Y69" s="172" t="e">
        <f>$X$58 + IF($B$2="mil",1,0.0254)*DDR2Specs!$F$9</f>
        <v>#REF!</v>
      </c>
      <c r="Z69" s="173" t="e">
        <f t="shared" si="41"/>
        <v>#REF!</v>
      </c>
      <c r="AA69" s="174" t="e">
        <f t="shared" si="42"/>
        <v>#REF!</v>
      </c>
      <c r="AB69" s="287">
        <f t="shared" si="43"/>
        <v>3648.3599999999997</v>
      </c>
      <c r="AC69" s="172">
        <f t="shared" si="44"/>
        <v>4477.66</v>
      </c>
      <c r="AD69" s="172" t="e">
        <f>$AE$58 + IF($B$2="mil",1,0.0254)*DDR2Specs!$E$9</f>
        <v>#REF!</v>
      </c>
      <c r="AE69" s="172" t="e">
        <f>$AD$58 + IF($B$2="mil",1,0.0254)*DDR2Specs!$F$9</f>
        <v>#REF!</v>
      </c>
      <c r="AF69" s="173" t="e">
        <f t="shared" si="45"/>
        <v>#REF!</v>
      </c>
      <c r="AG69" s="174" t="e">
        <f t="shared" si="46"/>
        <v>#REF!</v>
      </c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14" t="s">
        <v>96</v>
      </c>
      <c r="AT69" s="176" t="e">
        <f t="shared" ca="1" si="47"/>
        <v>#NAME?</v>
      </c>
      <c r="AU69" s="176" t="e">
        <f t="shared" ca="1" si="48"/>
        <v>#NAME?</v>
      </c>
      <c r="AV69" s="176" t="e">
        <f t="shared" si="39"/>
        <v>#REF!</v>
      </c>
      <c r="AW69" s="307" t="e">
        <f t="shared" si="40"/>
        <v>#REF!</v>
      </c>
      <c r="AX69" s="4" t="e">
        <f t="shared" ca="1" si="49"/>
        <v>#REF!</v>
      </c>
      <c r="AY69" s="2"/>
    </row>
    <row r="70" spans="16:51" x14ac:dyDescent="0.2">
      <c r="R70" s="2"/>
      <c r="S70" s="217" t="s">
        <v>98</v>
      </c>
      <c r="T70" s="273">
        <v>31.54</v>
      </c>
      <c r="U70" s="273">
        <v>31.54</v>
      </c>
      <c r="V70" s="287">
        <f t="shared" si="37"/>
        <v>3451.33</v>
      </c>
      <c r="W70" s="172">
        <f t="shared" si="38"/>
        <v>4018.23</v>
      </c>
      <c r="X70" s="172" t="e">
        <f>$Y$58 + IF($B$2="mil",1,0.0254)*DDR2Specs!$E$9</f>
        <v>#REF!</v>
      </c>
      <c r="Y70" s="172" t="e">
        <f>$X$58 + IF($B$2="mil",1,0.0254)*DDR2Specs!$F$9</f>
        <v>#REF!</v>
      </c>
      <c r="Z70" s="173" t="e">
        <f t="shared" si="41"/>
        <v>#REF!</v>
      </c>
      <c r="AA70" s="174" t="e">
        <f t="shared" si="42"/>
        <v>#REF!</v>
      </c>
      <c r="AB70" s="287">
        <f t="shared" si="43"/>
        <v>3451.33</v>
      </c>
      <c r="AC70" s="172">
        <f t="shared" si="44"/>
        <v>4018.23</v>
      </c>
      <c r="AD70" s="172" t="e">
        <f>$AE$58 + IF($B$2="mil",1,0.0254)*DDR2Specs!$E$9</f>
        <v>#REF!</v>
      </c>
      <c r="AE70" s="172" t="e">
        <f>$AD$58 + IF($B$2="mil",1,0.0254)*DDR2Specs!$F$9</f>
        <v>#REF!</v>
      </c>
      <c r="AF70" s="173" t="e">
        <f t="shared" si="45"/>
        <v>#REF!</v>
      </c>
      <c r="AG70" s="174" t="e">
        <f t="shared" si="46"/>
        <v>#REF!</v>
      </c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14" t="s">
        <v>98</v>
      </c>
      <c r="AT70" s="176" t="e">
        <f t="shared" ca="1" si="47"/>
        <v>#NAME?</v>
      </c>
      <c r="AU70" s="176" t="e">
        <f t="shared" ca="1" si="48"/>
        <v>#NAME?</v>
      </c>
      <c r="AV70" s="176" t="e">
        <f t="shared" si="39"/>
        <v>#REF!</v>
      </c>
      <c r="AW70" s="307" t="e">
        <f t="shared" si="40"/>
        <v>#REF!</v>
      </c>
      <c r="AX70" s="4" t="e">
        <f t="shared" ca="1" si="49"/>
        <v>#REF!</v>
      </c>
      <c r="AY70" s="2"/>
    </row>
    <row r="71" spans="16:51" x14ac:dyDescent="0.2">
      <c r="R71" s="2"/>
      <c r="S71" s="217" t="s">
        <v>99</v>
      </c>
      <c r="T71" s="273">
        <v>69.180000000000007</v>
      </c>
      <c r="U71" s="273">
        <v>69.180000000000007</v>
      </c>
      <c r="V71" s="287">
        <f t="shared" si="37"/>
        <v>3515.2299999999996</v>
      </c>
      <c r="W71" s="172">
        <f t="shared" si="38"/>
        <v>4254.9299999999994</v>
      </c>
      <c r="X71" s="172" t="e">
        <f>$Y$58 + IF($B$2="mil",1,0.0254)*DDR2Specs!$E$9</f>
        <v>#REF!</v>
      </c>
      <c r="Y71" s="172" t="e">
        <f>$X$58 + IF($B$2="mil",1,0.0254)*DDR2Specs!$F$9</f>
        <v>#REF!</v>
      </c>
      <c r="Z71" s="173" t="e">
        <f t="shared" si="41"/>
        <v>#REF!</v>
      </c>
      <c r="AA71" s="174" t="e">
        <f t="shared" si="42"/>
        <v>#REF!</v>
      </c>
      <c r="AB71" s="287">
        <f t="shared" si="43"/>
        <v>3515.2299999999996</v>
      </c>
      <c r="AC71" s="172">
        <f t="shared" si="44"/>
        <v>4254.9299999999994</v>
      </c>
      <c r="AD71" s="172" t="e">
        <f>$AE$58 + IF($B$2="mil",1,0.0254)*DDR2Specs!$E$9</f>
        <v>#REF!</v>
      </c>
      <c r="AE71" s="172" t="e">
        <f>$AD$58 + IF($B$2="mil",1,0.0254)*DDR2Specs!$F$9</f>
        <v>#REF!</v>
      </c>
      <c r="AF71" s="173" t="e">
        <f t="shared" si="45"/>
        <v>#REF!</v>
      </c>
      <c r="AG71" s="174" t="e">
        <f t="shared" si="46"/>
        <v>#REF!</v>
      </c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14" t="s">
        <v>99</v>
      </c>
      <c r="AT71" s="176" t="e">
        <f t="shared" ca="1" si="47"/>
        <v>#NAME?</v>
      </c>
      <c r="AU71" s="176" t="e">
        <f t="shared" ca="1" si="48"/>
        <v>#NAME?</v>
      </c>
      <c r="AV71" s="176" t="e">
        <f t="shared" si="39"/>
        <v>#REF!</v>
      </c>
      <c r="AW71" s="307" t="e">
        <f t="shared" si="40"/>
        <v>#REF!</v>
      </c>
      <c r="AX71" s="4" t="e">
        <f t="shared" ca="1" si="49"/>
        <v>#REF!</v>
      </c>
      <c r="AY71" s="2"/>
    </row>
    <row r="72" spans="16:51" x14ac:dyDescent="0.2">
      <c r="R72" s="2"/>
      <c r="S72" s="217" t="s">
        <v>100</v>
      </c>
      <c r="T72" s="273">
        <v>29.07</v>
      </c>
      <c r="U72" s="273">
        <v>29.07</v>
      </c>
      <c r="V72" s="287">
        <f t="shared" si="37"/>
        <v>3575.84</v>
      </c>
      <c r="W72" s="172">
        <f t="shared" si="38"/>
        <v>4318.04</v>
      </c>
      <c r="X72" s="172" t="e">
        <f>$Y$58 + IF($B$2="mil",1,0.0254)*DDR2Specs!$E$9</f>
        <v>#REF!</v>
      </c>
      <c r="Y72" s="172" t="e">
        <f>$X$58 + IF($B$2="mil",1,0.0254)*DDR2Specs!$F$9</f>
        <v>#REF!</v>
      </c>
      <c r="Z72" s="173" t="e">
        <f t="shared" si="41"/>
        <v>#REF!</v>
      </c>
      <c r="AA72" s="174" t="e">
        <f t="shared" si="42"/>
        <v>#REF!</v>
      </c>
      <c r="AB72" s="287">
        <f t="shared" si="43"/>
        <v>3575.84</v>
      </c>
      <c r="AC72" s="172">
        <f t="shared" si="44"/>
        <v>4318.04</v>
      </c>
      <c r="AD72" s="172" t="e">
        <f>$AE$58 + IF($B$2="mil",1,0.0254)*DDR2Specs!$E$9</f>
        <v>#REF!</v>
      </c>
      <c r="AE72" s="172" t="e">
        <f>$AD$58 + IF($B$2="mil",1,0.0254)*DDR2Specs!$F$9</f>
        <v>#REF!</v>
      </c>
      <c r="AF72" s="173" t="e">
        <f t="shared" si="45"/>
        <v>#REF!</v>
      </c>
      <c r="AG72" s="174" t="e">
        <f t="shared" si="46"/>
        <v>#REF!</v>
      </c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14" t="s">
        <v>100</v>
      </c>
      <c r="AT72" s="176" t="e">
        <f t="shared" ca="1" si="47"/>
        <v>#NAME?</v>
      </c>
      <c r="AU72" s="176" t="e">
        <f t="shared" ca="1" si="48"/>
        <v>#NAME?</v>
      </c>
      <c r="AV72" s="176" t="e">
        <f t="shared" si="39"/>
        <v>#REF!</v>
      </c>
      <c r="AW72" s="307" t="e">
        <f t="shared" si="40"/>
        <v>#REF!</v>
      </c>
      <c r="AX72" s="4" t="e">
        <f t="shared" ca="1" si="49"/>
        <v>#REF!</v>
      </c>
      <c r="AY72" s="2"/>
    </row>
    <row r="73" spans="16:51" x14ac:dyDescent="0.2">
      <c r="R73" s="2"/>
      <c r="S73" s="217" t="s">
        <v>101</v>
      </c>
      <c r="T73" s="273">
        <v>29.07</v>
      </c>
      <c r="U73" s="273">
        <v>29.07</v>
      </c>
      <c r="V73" s="287">
        <f t="shared" si="37"/>
        <v>3455.84</v>
      </c>
      <c r="W73" s="172">
        <f t="shared" si="38"/>
        <v>3957.84</v>
      </c>
      <c r="X73" s="172" t="e">
        <f>$Y$58 + IF($B$2="mil",1,0.0254)*DDR2Specs!$E$9</f>
        <v>#REF!</v>
      </c>
      <c r="Y73" s="172" t="e">
        <f>$X$58 + IF($B$2="mil",1,0.0254)*DDR2Specs!$F$9</f>
        <v>#REF!</v>
      </c>
      <c r="Z73" s="173" t="e">
        <f t="shared" si="41"/>
        <v>#REF!</v>
      </c>
      <c r="AA73" s="174" t="e">
        <f t="shared" si="42"/>
        <v>#REF!</v>
      </c>
      <c r="AB73" s="287">
        <f t="shared" si="43"/>
        <v>3455.84</v>
      </c>
      <c r="AC73" s="172">
        <f t="shared" si="44"/>
        <v>3957.84</v>
      </c>
      <c r="AD73" s="172" t="e">
        <f>$AE$58 + IF($B$2="mil",1,0.0254)*DDR2Specs!$E$9</f>
        <v>#REF!</v>
      </c>
      <c r="AE73" s="172" t="e">
        <f>$AD$58 + IF($B$2="mil",1,0.0254)*DDR2Specs!$F$9</f>
        <v>#REF!</v>
      </c>
      <c r="AF73" s="173" t="e">
        <f t="shared" si="45"/>
        <v>#REF!</v>
      </c>
      <c r="AG73" s="174" t="e">
        <f t="shared" si="46"/>
        <v>#REF!</v>
      </c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14" t="s">
        <v>101</v>
      </c>
      <c r="AT73" s="176" t="e">
        <f t="shared" ca="1" si="47"/>
        <v>#NAME?</v>
      </c>
      <c r="AU73" s="176" t="e">
        <f t="shared" ca="1" si="48"/>
        <v>#NAME?</v>
      </c>
      <c r="AV73" s="176" t="e">
        <f t="shared" si="39"/>
        <v>#REF!</v>
      </c>
      <c r="AW73" s="307" t="e">
        <f t="shared" si="40"/>
        <v>#REF!</v>
      </c>
      <c r="AX73" s="4" t="e">
        <f t="shared" ca="1" si="49"/>
        <v>#REF!</v>
      </c>
      <c r="AY73" s="2"/>
    </row>
    <row r="74" spans="16:51" x14ac:dyDescent="0.2">
      <c r="R74" s="2"/>
      <c r="S74" s="180" t="s">
        <v>278</v>
      </c>
      <c r="T74" s="291"/>
      <c r="U74" s="291"/>
      <c r="V74" s="184"/>
      <c r="W74" s="184"/>
      <c r="X74" s="184"/>
      <c r="Y74" s="184"/>
      <c r="Z74" s="187"/>
      <c r="AA74" s="187"/>
      <c r="AB74" s="184"/>
      <c r="AC74" s="184"/>
      <c r="AD74" s="184"/>
      <c r="AE74" s="184"/>
      <c r="AF74" s="187"/>
      <c r="AG74" s="187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180" t="s">
        <v>278</v>
      </c>
      <c r="AT74" s="159"/>
      <c r="AU74" s="159"/>
      <c r="AV74" s="159"/>
      <c r="AW74" s="309"/>
      <c r="AX74" s="2"/>
      <c r="AY74" s="2"/>
    </row>
    <row r="75" spans="16:51" x14ac:dyDescent="0.2">
      <c r="P75" t="s">
        <v>296</v>
      </c>
      <c r="R75" s="2"/>
      <c r="S75" s="161" t="s">
        <v>102</v>
      </c>
      <c r="T75" s="297">
        <v>75.430000000000007</v>
      </c>
      <c r="U75" s="297">
        <v>75.430000000000007</v>
      </c>
      <c r="V75" s="287">
        <f>SUM($E49:$H49,$M49,$N49,$P49,$Q49,$R49,$T75)</f>
        <v>3505.0899999999997</v>
      </c>
      <c r="W75" s="172">
        <f>$V75+$C49</f>
        <v>3818.4364566929125</v>
      </c>
      <c r="X75" s="172" t="e">
        <f>$Y$58 + IF($B$2="mil",1,0.0254)*DDR2Specs!$E$9</f>
        <v>#REF!</v>
      </c>
      <c r="Y75" s="172" t="e">
        <f>$X$58 + IF($B$2="mil",1,0.0254)*DDR2Specs!$F$9</f>
        <v>#REF!</v>
      </c>
      <c r="Z75" s="173" t="e">
        <f>IF($W75&lt;$X75,$X75-$W75,"Pass")</f>
        <v>#REF!</v>
      </c>
      <c r="AA75" s="174" t="e">
        <f>IF($W75&gt;$Y75,$W75-$Y75,"Pass")</f>
        <v>#REF!</v>
      </c>
      <c r="AB75" s="287">
        <f t="shared" si="43"/>
        <v>3505.0899999999997</v>
      </c>
      <c r="AC75" s="172">
        <f t="shared" si="44"/>
        <v>3818.4364566929125</v>
      </c>
      <c r="AD75" s="172" t="e">
        <f>$AE$58 + IF($B$2="mil",1,0.0254)*DDR2Specs!$E$9</f>
        <v>#REF!</v>
      </c>
      <c r="AE75" s="172" t="e">
        <f>$AD$58 + IF($B$2="mil",1,0.0254)*DDR2Specs!$F$9</f>
        <v>#REF!</v>
      </c>
      <c r="AF75" s="173" t="e">
        <f t="shared" si="45"/>
        <v>#REF!</v>
      </c>
      <c r="AG75" s="174" t="e">
        <f t="shared" si="46"/>
        <v>#REF!</v>
      </c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161" t="s">
        <v>102</v>
      </c>
      <c r="AT75" s="176" t="e">
        <f ca="1">CheckLength2(900,R49,T75,0)</f>
        <v>#NAME?</v>
      </c>
      <c r="AU75" s="176" t="e">
        <f ca="1">CheckLength2(900,R49,U75,0)</f>
        <v>#NAME?</v>
      </c>
      <c r="AV75" s="176" t="e">
        <f>IF(AND(V75&gt;=IF($B$2="mil",1,0.0254)*500, $V75&lt;=IF($B$2="mil",1,0.0254)*7500),"Pass",IF($B$2="mil",1,0.0254)*7500-$V75)</f>
        <v>#REF!</v>
      </c>
      <c r="AW75" s="307" t="e">
        <f>IF(AND($W75&gt;=IF($B$2="mil",1,0.0254)*500, $W75&lt;=IF($B$2="mil",1,0.0254)*8000),"Pass",IF($B$2="mil",1,0.0254)*8000-$W75)</f>
        <v>#REF!</v>
      </c>
      <c r="AX75" s="4" t="e">
        <f t="shared" ca="1" si="49"/>
        <v>#REF!</v>
      </c>
      <c r="AY75" s="2"/>
    </row>
    <row r="76" spans="16:51" x14ac:dyDescent="0.2">
      <c r="R76" s="2"/>
      <c r="S76" s="215" t="s">
        <v>103</v>
      </c>
      <c r="T76" s="292">
        <v>58.08</v>
      </c>
      <c r="U76" s="292">
        <v>58.08</v>
      </c>
      <c r="V76" s="287">
        <f>SUM($E50:$H50,$M50,$N50,$P50,$Q50,$R50,$T76)</f>
        <v>3542.1099999999997</v>
      </c>
      <c r="W76" s="172">
        <f>$V76+$C50</f>
        <v>3899.5903149606297</v>
      </c>
      <c r="X76" s="172" t="e">
        <f>$Y$58 + IF($B$2="mil",1,0.0254)*DDR2Specs!$E$9</f>
        <v>#REF!</v>
      </c>
      <c r="Y76" s="172" t="e">
        <f>$X$58 + IF($B$2="mil",1,0.0254)*DDR2Specs!$F$9</f>
        <v>#REF!</v>
      </c>
      <c r="Z76" s="173" t="e">
        <f>IF($W76&lt;$X76,$X76-$W76,"Pass")</f>
        <v>#REF!</v>
      </c>
      <c r="AA76" s="174" t="e">
        <f>IF($W76&gt;$Y76,$W76-$Y76,"Pass")</f>
        <v>#REF!</v>
      </c>
      <c r="AB76" s="287">
        <f t="shared" si="43"/>
        <v>3542.1099999999997</v>
      </c>
      <c r="AC76" s="172">
        <f t="shared" si="44"/>
        <v>3899.5903149606297</v>
      </c>
      <c r="AD76" s="172" t="e">
        <f>$AE$58 + IF($B$2="mil",1,0.0254)*DDR2Specs!$E$9</f>
        <v>#REF!</v>
      </c>
      <c r="AE76" s="172" t="e">
        <f>$AD$58 + IF($B$2="mil",1,0.0254)*DDR2Specs!$F$9</f>
        <v>#REF!</v>
      </c>
      <c r="AF76" s="173" t="e">
        <f t="shared" si="45"/>
        <v>#REF!</v>
      </c>
      <c r="AG76" s="174" t="e">
        <f t="shared" si="46"/>
        <v>#REF!</v>
      </c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15" t="s">
        <v>103</v>
      </c>
      <c r="AT76" s="176" t="e">
        <f ca="1">CheckLength2(900,R50,T76,0)</f>
        <v>#NAME?</v>
      </c>
      <c r="AU76" s="176" t="e">
        <f ca="1">CheckLength2(900,R50,U76,0)</f>
        <v>#NAME?</v>
      </c>
      <c r="AV76" s="176" t="e">
        <f>IF(AND(V76&gt;=IF($B$2="mil",1,0.0254)*500, $V76&lt;=IF($B$2="mil",1,0.0254)*7500),"Pass",IF($B$2="mil",1,0.0254)*7500-$V76)</f>
        <v>#REF!</v>
      </c>
      <c r="AW76" s="307" t="e">
        <f>IF(AND($W76&gt;=IF($B$2="mil",1,0.0254)*500, $W76&lt;=IF($B$2="mil",1,0.0254)*8000),"Pass",IF($B$2="mil",1,0.0254)*8000-$W76)</f>
        <v>#REF!</v>
      </c>
      <c r="AX76" s="4" t="e">
        <f t="shared" ca="1" si="49"/>
        <v>#REF!</v>
      </c>
      <c r="AY76" s="2"/>
    </row>
    <row r="77" spans="16:51" x14ac:dyDescent="0.2">
      <c r="R77" s="2"/>
      <c r="S77" s="215" t="s">
        <v>104</v>
      </c>
      <c r="T77" s="169">
        <v>78.75</v>
      </c>
      <c r="U77" s="169">
        <v>78.75</v>
      </c>
      <c r="V77" s="287">
        <f>SUM($E51:$H51,$M51,$N51,$P51,$Q51,$R51,$T77)</f>
        <v>3407.58</v>
      </c>
      <c r="W77" s="172">
        <f>$V77+$C51</f>
        <v>4375.8083464566926</v>
      </c>
      <c r="X77" s="172" t="e">
        <f>$Y$58 + IF($B$2="mil",1,0.0254)*DDR2Specs!$E$9</f>
        <v>#REF!</v>
      </c>
      <c r="Y77" s="172" t="e">
        <f>$X$58 + IF($B$2="mil",1,0.0254)*DDR2Specs!$F$9</f>
        <v>#REF!</v>
      </c>
      <c r="Z77" s="173" t="e">
        <f>IF($W77&lt;$X77,$X77-$W77,"Pass")</f>
        <v>#REF!</v>
      </c>
      <c r="AA77" s="174" t="e">
        <f>IF($W77&gt;$Y77,$W77-$Y77,"Pass")</f>
        <v>#REF!</v>
      </c>
      <c r="AB77" s="287">
        <f t="shared" si="43"/>
        <v>3407.58</v>
      </c>
      <c r="AC77" s="172">
        <f t="shared" si="44"/>
        <v>4375.8083464566926</v>
      </c>
      <c r="AD77" s="172" t="e">
        <f>$AE$58 + IF($B$2="mil",1,0.0254)*DDR2Specs!$E$9</f>
        <v>#REF!</v>
      </c>
      <c r="AE77" s="172" t="e">
        <f>$AD$58 + IF($B$2="mil",1,0.0254)*DDR2Specs!$F$9</f>
        <v>#REF!</v>
      </c>
      <c r="AF77" s="173" t="e">
        <f t="shared" si="45"/>
        <v>#REF!</v>
      </c>
      <c r="AG77" s="174" t="e">
        <f t="shared" si="46"/>
        <v>#REF!</v>
      </c>
      <c r="AH77" s="2"/>
      <c r="AI77" s="2"/>
      <c r="AJ77" s="2"/>
      <c r="AK77" s="2"/>
      <c r="AL77" s="2"/>
      <c r="AM77" s="204"/>
      <c r="AN77" s="204"/>
      <c r="AO77" s="2"/>
      <c r="AP77" s="2"/>
      <c r="AQ77" s="205"/>
      <c r="AR77" s="2"/>
      <c r="AS77" s="215" t="s">
        <v>104</v>
      </c>
      <c r="AT77" s="176" t="e">
        <f ca="1">CheckLength2(900,R51,T77,0)</f>
        <v>#NAME?</v>
      </c>
      <c r="AU77" s="176" t="e">
        <f ca="1">CheckLength2(900,R51,U77,0)</f>
        <v>#NAME?</v>
      </c>
      <c r="AV77" s="176" t="e">
        <f>IF(AND(V77&gt;=IF($B$2="mil",1,0.0254)*500, $V77&lt;=IF($B$2="mil",1,0.0254)*7500),"Pass",IF($B$2="mil",1,0.0254)*7500-$V77)</f>
        <v>#REF!</v>
      </c>
      <c r="AW77" s="307" t="e">
        <f>IF(AND($W77&gt;=IF($B$2="mil",1,0.0254)*500, $W77&lt;=IF($B$2="mil",1,0.0254)*8000),"Pass",IF($B$2="mil",1,0.0254)*8000-$W77)</f>
        <v>#REF!</v>
      </c>
      <c r="AX77" s="4" t="e">
        <f t="shared" ca="1" si="49"/>
        <v>#REF!</v>
      </c>
      <c r="AY77" s="2"/>
    </row>
    <row r="78" spans="16:51" x14ac:dyDescent="0.2">
      <c r="P78" t="s">
        <v>301</v>
      </c>
      <c r="R78" s="2"/>
      <c r="S78" s="180" t="s">
        <v>279</v>
      </c>
      <c r="T78" s="182"/>
      <c r="U78" s="182"/>
      <c r="V78" s="184"/>
      <c r="W78" s="184"/>
      <c r="X78" s="184"/>
      <c r="Y78" s="184"/>
      <c r="Z78" s="187"/>
      <c r="AA78" s="187"/>
      <c r="AB78" s="184"/>
      <c r="AC78" s="184"/>
      <c r="AD78" s="184"/>
      <c r="AE78" s="184"/>
      <c r="AF78" s="187"/>
      <c r="AG78" s="187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180" t="s">
        <v>279</v>
      </c>
      <c r="AT78" s="187"/>
      <c r="AU78" s="187"/>
      <c r="AV78" s="187"/>
      <c r="AW78" s="309"/>
      <c r="AX78" s="2"/>
      <c r="AY78" s="2"/>
    </row>
    <row r="79" spans="16:51" x14ac:dyDescent="0.2">
      <c r="R79" s="2"/>
      <c r="S79" s="161" t="s">
        <v>106</v>
      </c>
      <c r="T79" s="169">
        <v>27.77</v>
      </c>
      <c r="U79" s="169">
        <v>27.77</v>
      </c>
      <c r="V79" s="287">
        <f>SUM($E53:$H53,$M53,$N53,$P53,$Q53,$R53,$T79)</f>
        <v>3342.3899999999994</v>
      </c>
      <c r="W79" s="172">
        <f>$V79+$C53</f>
        <v>3691.8899999999994</v>
      </c>
      <c r="X79" s="172" t="e">
        <f>$Y$58 + IF($B$2="mil",1,0.0254)*DDR2Specs!$E$9</f>
        <v>#REF!</v>
      </c>
      <c r="Y79" s="172" t="e">
        <f>$X$58 + IF($B$2="mil",1,0.0254)*DDR2Specs!$F$9</f>
        <v>#REF!</v>
      </c>
      <c r="Z79" s="173" t="e">
        <f>IF($W79&lt;$X79,$X79-$W79,"Pass")</f>
        <v>#REF!</v>
      </c>
      <c r="AA79" s="174" t="e">
        <f>IF($W79&gt;$Y79,$W79-$Y79,"Pass")</f>
        <v>#REF!</v>
      </c>
      <c r="AB79" s="287">
        <f t="shared" si="43"/>
        <v>3342.3899999999994</v>
      </c>
      <c r="AC79" s="172">
        <f t="shared" si="44"/>
        <v>3691.8899999999994</v>
      </c>
      <c r="AD79" s="172" t="e">
        <f>$AE$58 + IF($B$2="mil",1,0.0254)*DDR2Specs!$E$9</f>
        <v>#REF!</v>
      </c>
      <c r="AE79" s="172" t="e">
        <f>$AD$58 + IF($B$2="mil",1,0.0254)*DDR2Specs!$F$9</f>
        <v>#REF!</v>
      </c>
      <c r="AF79" s="173" t="e">
        <f t="shared" si="45"/>
        <v>#REF!</v>
      </c>
      <c r="AG79" s="174" t="e">
        <f t="shared" si="46"/>
        <v>#REF!</v>
      </c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161" t="s">
        <v>106</v>
      </c>
      <c r="AT79" s="176" t="e">
        <f ca="1">CheckLength2(900,R53,T79,0)</f>
        <v>#NAME?</v>
      </c>
      <c r="AU79" s="176" t="e">
        <f ca="1">CheckLength2(900,R53,U79,0)</f>
        <v>#NAME?</v>
      </c>
      <c r="AV79" s="176" t="e">
        <f>IF(AND(V79&gt;=IF($B$2="mil",1,0.0254)*500, $V79&lt;=IF($B$2="mil",1,0.0254)*7500),"Pass",IF($B$2="mil",1,0.0254)*7500-$V79)</f>
        <v>#REF!</v>
      </c>
      <c r="AW79" s="307" t="e">
        <f>IF(AND($W79&gt;=IF($B$2="mil",1,0.0254)*500, $W79&lt;=IF($B$2="mil",1,0.0254)*8000),"Pass",IF($B$2="mil",1,0.0254)*8000-$W79)</f>
        <v>#REF!</v>
      </c>
      <c r="AX79" s="4" t="e">
        <f t="shared" ca="1" si="49"/>
        <v>#REF!</v>
      </c>
      <c r="AY79" s="2"/>
    </row>
    <row r="80" spans="16:51" x14ac:dyDescent="0.2">
      <c r="R80" s="2"/>
      <c r="S80" s="214" t="s">
        <v>107</v>
      </c>
      <c r="T80" s="169">
        <v>56.02</v>
      </c>
      <c r="U80" s="169">
        <v>56.02</v>
      </c>
      <c r="V80" s="287">
        <f>SUM($E54:$H54,$M54,$N54,$P54,$Q54,$R54,$T80)</f>
        <v>3423.9899999999993</v>
      </c>
      <c r="W80" s="172">
        <f>$V80+$C54</f>
        <v>4134.5899999999992</v>
      </c>
      <c r="X80" s="172" t="e">
        <f>$Y$58 + IF($B$2="mil",1,0.0254)*DDR2Specs!$E$9</f>
        <v>#REF!</v>
      </c>
      <c r="Y80" s="172" t="e">
        <f>$X$58 + IF($B$2="mil",1,0.0254)*DDR2Specs!$F$9</f>
        <v>#REF!</v>
      </c>
      <c r="Z80" s="173" t="e">
        <f>IF($W80&lt;$X80,$X80-$W80,"Pass")</f>
        <v>#REF!</v>
      </c>
      <c r="AA80" s="174" t="e">
        <f>IF($W80&gt;$Y80,$W80-$Y80,"Pass")</f>
        <v>#REF!</v>
      </c>
      <c r="AB80" s="287">
        <f t="shared" si="43"/>
        <v>3423.9899999999993</v>
      </c>
      <c r="AC80" s="172">
        <f t="shared" si="44"/>
        <v>4134.5899999999992</v>
      </c>
      <c r="AD80" s="172" t="e">
        <f>$AE$58 + IF($B$2="mil",1,0.0254)*DDR2Specs!$E$9</f>
        <v>#REF!</v>
      </c>
      <c r="AE80" s="172" t="e">
        <f>$AD$58 + IF($B$2="mil",1,0.0254)*DDR2Specs!$F$9</f>
        <v>#REF!</v>
      </c>
      <c r="AF80" s="173" t="e">
        <f t="shared" si="45"/>
        <v>#REF!</v>
      </c>
      <c r="AG80" s="174" t="e">
        <f t="shared" si="46"/>
        <v>#REF!</v>
      </c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14" t="s">
        <v>107</v>
      </c>
      <c r="AT80" s="176" t="e">
        <f ca="1">CheckLength2(900,R54,T80,0)</f>
        <v>#NAME?</v>
      </c>
      <c r="AU80" s="176" t="e">
        <f ca="1">CheckLength2(900,R54,U80,0)</f>
        <v>#NAME?</v>
      </c>
      <c r="AV80" s="176" t="e">
        <f>IF(AND(V80&gt;=IF($B$2="mil",1,0.0254)*500, $V80&lt;=IF($B$2="mil",1,0.0254)*7500),"Pass",IF($B$2="mil",1,0.0254)*7500-$V80)</f>
        <v>#REF!</v>
      </c>
      <c r="AW80" s="307" t="e">
        <f>IF(AND($W80&gt;=IF($B$2="mil",1,0.0254)*500, $W80&lt;=IF($B$2="mil",1,0.0254)*8000),"Pass",IF($B$2="mil",1,0.0254)*8000-$W80)</f>
        <v>#REF!</v>
      </c>
      <c r="AX80" s="4" t="e">
        <f t="shared" ca="1" si="49"/>
        <v>#REF!</v>
      </c>
      <c r="AY80" s="2"/>
    </row>
    <row r="81" spans="5:51" x14ac:dyDescent="0.2">
      <c r="P81" t="s">
        <v>295</v>
      </c>
      <c r="R81" s="2"/>
      <c r="S81" s="214" t="s">
        <v>108</v>
      </c>
      <c r="T81" s="169">
        <v>28.25</v>
      </c>
      <c r="U81" s="169">
        <v>28.25</v>
      </c>
      <c r="V81" s="287">
        <f>SUM($E55:$H55,$M55,$N55,$P55,$Q55,$R55,$T81)</f>
        <v>3402.9</v>
      </c>
      <c r="W81" s="172">
        <f>$V81+$C55</f>
        <v>3764.6</v>
      </c>
      <c r="X81" s="172" t="e">
        <f>$Y$58 + IF($B$2="mil",1,0.0254)*DDR2Specs!$E$9</f>
        <v>#REF!</v>
      </c>
      <c r="Y81" s="172" t="e">
        <f>$X$58 + IF($B$2="mil",1,0.0254)*DDR2Specs!$F$9</f>
        <v>#REF!</v>
      </c>
      <c r="Z81" s="173" t="e">
        <f>IF($W81&lt;$X81,$X81-$W81,"Pass")</f>
        <v>#REF!</v>
      </c>
      <c r="AA81" s="174" t="e">
        <f>IF($W81&gt;$Y81,$W81-$Y81,"Pass")</f>
        <v>#REF!</v>
      </c>
      <c r="AB81" s="287">
        <f t="shared" si="43"/>
        <v>3402.9</v>
      </c>
      <c r="AC81" s="172">
        <f t="shared" si="44"/>
        <v>3764.6</v>
      </c>
      <c r="AD81" s="172" t="e">
        <f>$AE$58 + IF($B$2="mil",1,0.0254)*DDR2Specs!$E$9</f>
        <v>#REF!</v>
      </c>
      <c r="AE81" s="172" t="e">
        <f>$AD$58 + IF($B$2="mil",1,0.0254)*DDR2Specs!$F$9</f>
        <v>#REF!</v>
      </c>
      <c r="AF81" s="173" t="e">
        <f t="shared" si="45"/>
        <v>#REF!</v>
      </c>
      <c r="AG81" s="174" t="e">
        <f t="shared" si="46"/>
        <v>#REF!</v>
      </c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14" t="s">
        <v>108</v>
      </c>
      <c r="AT81" s="176" t="e">
        <f ca="1">CheckLength2(900,R55,T81,0)</f>
        <v>#NAME?</v>
      </c>
      <c r="AU81" s="176" t="e">
        <f ca="1">CheckLength2(900,R55,U81,0)</f>
        <v>#NAME?</v>
      </c>
      <c r="AV81" s="176" t="e">
        <f>IF(AND(V81&gt;=IF($B$2="mil",1,0.0254)*500, $V81&lt;=IF($B$2="mil",1,0.0254)*7500),"Pass",IF($B$2="mil",1,0.0254)*7500-$V81)</f>
        <v>#REF!</v>
      </c>
      <c r="AW81" s="307" t="e">
        <f>IF(AND($W81&gt;=IF($B$2="mil",1,0.0254)*500, $W81&lt;=IF($B$2="mil",1,0.0254)*8000),"Pass",IF($B$2="mil",1,0.0254)*8000-$W81)</f>
        <v>#REF!</v>
      </c>
      <c r="AX81" s="4" t="e">
        <f t="shared" ca="1" si="49"/>
        <v>#REF!</v>
      </c>
      <c r="AY81" s="2"/>
    </row>
    <row r="82" spans="5:51" ht="22.5" x14ac:dyDescent="0.2">
      <c r="P82" s="312" t="s">
        <v>302</v>
      </c>
      <c r="R82" s="289" t="s">
        <v>79</v>
      </c>
      <c r="S82" s="123" t="e">
        <f>"Trace L8-2 ["&amp;$B$2&amp;"]"</f>
        <v>#REF!</v>
      </c>
      <c r="T82" s="123" t="e">
        <f>"Trace L10-5 to U3 ["&amp;$B$2&amp;"]"</f>
        <v>#REF!</v>
      </c>
      <c r="U82" s="123" t="e">
        <f>"Trace L10-6 to U7 ["&amp;$B$2&amp;"]"</f>
        <v>#REF!</v>
      </c>
      <c r="V82" s="123" t="e">
        <f>"Total MB Length to U3 (L0+L1+L2+S1+L5+Rs+L6+L7+L8-2+L10-5) ["&amp;$B$2&amp;"]"</f>
        <v>#REF!</v>
      </c>
      <c r="W82" s="123" t="e">
        <f>"Total Pad to Pin U3 (P1+L0+L1+L2+S1+L5+Rs+L6+L7+L8-2+L10-5) ["&amp;$B$2&amp;"]"</f>
        <v>#REF!</v>
      </c>
      <c r="X82" s="130" t="e">
        <f>"Target Min Length to U3
["&amp;$B$2&amp;"]"</f>
        <v>#REF!</v>
      </c>
      <c r="Y82" s="129" t="e">
        <f>"Target Max Length to U3 
["&amp;$B$2&amp;"]"</f>
        <v>#REF!</v>
      </c>
      <c r="Z82" s="131" t="e">
        <f>"Routed Too Short to U3 [" &amp;$B$2&amp;"]"</f>
        <v>#REF!</v>
      </c>
      <c r="AA82" s="130" t="e">
        <f>"Routed Too Long to U3 [" &amp;$B$2&amp;"]"</f>
        <v>#REF!</v>
      </c>
      <c r="AB82" s="123" t="e">
        <f>"Total MB Length to U7 (L0+L1+L2+S1+L5+Rs+L6+L7+L8-2+L10-6) ["&amp;$B$2&amp;"]"</f>
        <v>#REF!</v>
      </c>
      <c r="AC82" s="123" t="e">
        <f>"Total Pad to Pin U7 (P1+L0+L1+L2+S1+L5+Rs+L6+L7+L8-2+L10-6) ["&amp;$B$2&amp;"]"</f>
        <v>#REF!</v>
      </c>
      <c r="AD82" s="130" t="e">
        <f>"Target Min Length to U7
["&amp;$B$2&amp;"]"</f>
        <v>#REF!</v>
      </c>
      <c r="AE82" s="129" t="e">
        <f>"Target Max Length to U7 
["&amp;$B$2&amp;"]"</f>
        <v>#REF!</v>
      </c>
      <c r="AF82" s="131" t="e">
        <f>"Routed Too Short to U7 [" &amp;$B$2&amp;"]"</f>
        <v>#REF!</v>
      </c>
      <c r="AG82" s="130" t="e">
        <f>"Routed Too Long to U7 [" &amp;$B$2&amp;"]"</f>
        <v>#REF!</v>
      </c>
      <c r="AH82" s="2"/>
      <c r="AI82" s="2"/>
      <c r="AJ82" s="2"/>
      <c r="AK82" s="2"/>
      <c r="AL82" s="2"/>
      <c r="AM82" s="2"/>
      <c r="AN82" s="2"/>
      <c r="AO82" s="192" t="s">
        <v>79</v>
      </c>
      <c r="AP82" s="132" t="e">
        <f>"L8-2 Length Test (&lt;=" &amp; IF($B$2="mil",1,0.0254)*750&amp;$B$2&amp;")"</f>
        <v>#REF!</v>
      </c>
      <c r="AQ82" s="2"/>
      <c r="AR82" s="2"/>
      <c r="AS82" s="192" t="s">
        <v>79</v>
      </c>
      <c r="AT82" s="132" t="e">
        <f>"L10-5 Length Test (&lt;=" &amp; IF($B$2="mil",1,0.0254)*150&amp;$B$2&amp;") or (L8-2+L10-5&lt;= "&amp;IF($B$2="mil",1,0.0254)*900&amp;$B$2&amp;")"</f>
        <v>#REF!</v>
      </c>
      <c r="AU82" s="132" t="e">
        <f>"L10-6 Length Test (&lt;=" &amp; IF($B$2="mil",1,0.0254)*150&amp;$B$2&amp;") or (L8-2+L10-6&lt;= "&amp;IF($B$2="mil",1,0.0254)*900&amp;$B$2&amp;")"</f>
        <v>#REF!</v>
      </c>
      <c r="AV82" s="129" t="e">
        <f>"Total Length to U3 (L0+L1+L2+S1+L5+Rs+L6+L7+L8-2+L10-3) Test
 ("&amp;IF($B$2="mil",1,0.0254)*500&amp;"-"&amp;IF($B$2="mil",1,0.0254)*7500&amp;IF($B$2="mil","mil","mm")&amp;")"</f>
        <v>#REF!</v>
      </c>
      <c r="AW82" s="129" t="e">
        <f>"Total Length to U3 (P1+L0+L1+L2+S1+L5+Rs+L6+L7+L8-2+L10-3) Test
 (&lt;="&amp;IF($B$2="mil",1,25.4)*8000&amp;IF($B$2="mil","mil","mm")&amp;")"</f>
        <v>#REF!</v>
      </c>
      <c r="AX82" s="2"/>
      <c r="AY82" s="2"/>
    </row>
    <row r="83" spans="5:51" x14ac:dyDescent="0.2">
      <c r="R83" s="134" t="s">
        <v>258</v>
      </c>
      <c r="S83" s="135"/>
      <c r="T83" s="135"/>
      <c r="U83" s="135"/>
      <c r="V83" s="195"/>
      <c r="W83" s="195"/>
      <c r="X83" s="195"/>
      <c r="Y83" s="195"/>
      <c r="Z83" s="195"/>
      <c r="AA83" s="195"/>
      <c r="AB83" s="195"/>
      <c r="AC83" s="195"/>
      <c r="AD83" s="195"/>
      <c r="AE83" s="195"/>
      <c r="AF83" s="195"/>
      <c r="AG83" s="195"/>
      <c r="AH83" s="2"/>
      <c r="AI83" s="2"/>
      <c r="AJ83" s="2"/>
      <c r="AK83" s="2"/>
      <c r="AL83" s="2"/>
      <c r="AM83" s="2"/>
      <c r="AN83" s="2"/>
      <c r="AO83" s="134" t="s">
        <v>258</v>
      </c>
      <c r="AP83" s="195"/>
      <c r="AQ83" s="2"/>
      <c r="AR83" s="2"/>
      <c r="AS83" s="134" t="s">
        <v>258</v>
      </c>
      <c r="AT83" s="195"/>
      <c r="AU83" s="195"/>
      <c r="AV83" s="195"/>
      <c r="AW83" s="310"/>
      <c r="AX83" s="2"/>
      <c r="AY83" s="2"/>
    </row>
    <row r="84" spans="5:51" x14ac:dyDescent="0.2">
      <c r="R84" s="235" t="s">
        <v>262</v>
      </c>
      <c r="S84" s="143"/>
      <c r="T84" s="143"/>
      <c r="U84" s="143"/>
      <c r="V84" s="146"/>
      <c r="W84" s="340" t="s">
        <v>274</v>
      </c>
      <c r="X84" s="151" t="e">
        <f>MIN('DDR2 Clocks - 4L'!$O$13:$O$14)</f>
        <v>#REF!</v>
      </c>
      <c r="Y84" s="209" t="e">
        <f>MAX('DDR2 Clocks - 4L'!$O$13:$O$14)</f>
        <v>#REF!</v>
      </c>
      <c r="Z84" s="151"/>
      <c r="AA84" s="149"/>
      <c r="AB84" s="146"/>
      <c r="AC84" s="340" t="s">
        <v>334</v>
      </c>
      <c r="AD84" s="151" t="e">
        <f>MIN('DDR2 Clocks - 4L'!$O$15:$O$16)</f>
        <v>#REF!</v>
      </c>
      <c r="AE84" s="209" t="e">
        <f>MAX('DDR2 Clocks - 4L'!$O$15:$O$16)</f>
        <v>#REF!</v>
      </c>
      <c r="AF84" s="151"/>
      <c r="AG84" s="149"/>
      <c r="AH84" s="2"/>
      <c r="AI84" s="2"/>
      <c r="AJ84" s="2"/>
      <c r="AK84" s="2"/>
      <c r="AL84" s="2"/>
      <c r="AM84" s="2"/>
      <c r="AN84" s="2"/>
      <c r="AO84" s="235" t="s">
        <v>262</v>
      </c>
      <c r="AP84" s="153"/>
      <c r="AQ84" s="2"/>
      <c r="AR84" s="2"/>
      <c r="AS84" s="235" t="s">
        <v>262</v>
      </c>
      <c r="AT84" s="153"/>
      <c r="AU84" s="153"/>
      <c r="AV84" s="153"/>
      <c r="AW84" s="154"/>
      <c r="AX84" s="2"/>
      <c r="AY84" s="2"/>
    </row>
    <row r="85" spans="5:51" x14ac:dyDescent="0.2">
      <c r="R85" s="180" t="s">
        <v>277</v>
      </c>
      <c r="S85" s="157"/>
      <c r="T85" s="157"/>
      <c r="U85" s="157"/>
      <c r="V85" s="158"/>
      <c r="W85" s="158"/>
      <c r="X85" s="159"/>
      <c r="Y85" s="160"/>
      <c r="Z85" s="160"/>
      <c r="AA85" s="159"/>
      <c r="AB85" s="158"/>
      <c r="AC85" s="158"/>
      <c r="AD85" s="159"/>
      <c r="AE85" s="160"/>
      <c r="AF85" s="160"/>
      <c r="AG85" s="159"/>
      <c r="AH85" s="2"/>
      <c r="AI85" s="2"/>
      <c r="AJ85" s="2"/>
      <c r="AK85" s="2"/>
      <c r="AL85" s="2"/>
      <c r="AM85" s="2"/>
      <c r="AN85" s="2"/>
      <c r="AO85" s="180" t="s">
        <v>277</v>
      </c>
      <c r="AP85" s="159"/>
      <c r="AQ85" s="2"/>
      <c r="AR85" s="2"/>
      <c r="AS85" s="180" t="s">
        <v>277</v>
      </c>
      <c r="AT85" s="159"/>
      <c r="AU85" s="159"/>
      <c r="AV85" s="159"/>
      <c r="AW85" s="308"/>
      <c r="AX85" s="2"/>
      <c r="AY85" s="2"/>
    </row>
    <row r="86" spans="5:51" x14ac:dyDescent="0.2">
      <c r="R86" s="162" t="s">
        <v>244</v>
      </c>
      <c r="S86" s="273">
        <v>400</v>
      </c>
      <c r="T86" s="306">
        <v>112.93</v>
      </c>
      <c r="U86" s="306">
        <v>112.93</v>
      </c>
      <c r="V86" s="287">
        <f t="shared" ref="V86:V99" si="50">SUM($E34:$H34,$M34,$N34,$P34,$Q34,$S86,$T86)</f>
        <v>3629.08</v>
      </c>
      <c r="W86" s="172">
        <f t="shared" ref="W86:W99" si="51">$V86+$C34</f>
        <v>4422.68</v>
      </c>
      <c r="X86" s="172" t="e">
        <f>$Y$84 + IF($B$2="mil",1,0.0254)*DDR2Specs!$E$9</f>
        <v>#REF!</v>
      </c>
      <c r="Y86" s="172" t="e">
        <f>$X$84 + IF($B$2="mil",1,0.0254)*DDR2Specs!$F$9</f>
        <v>#REF!</v>
      </c>
      <c r="Z86" s="173" t="e">
        <f>IF($W86&lt;$X86,$X86-$W86,"Pass")</f>
        <v>#REF!</v>
      </c>
      <c r="AA86" s="174" t="e">
        <f>IF($W86&gt;$Y86,$W86-$Y86,"Pass")</f>
        <v>#REF!</v>
      </c>
      <c r="AB86" s="287">
        <f>SUM($E34:$H34,$M34,$N34,$P34,$Q34,$S86,$U86)</f>
        <v>3629.08</v>
      </c>
      <c r="AC86" s="172">
        <f>$AB86+$C34</f>
        <v>4422.68</v>
      </c>
      <c r="AD86" s="172" t="e">
        <f>$AE$84 + IF($B$2="mil",1,0.0254)*DDR2Specs!$E$9</f>
        <v>#REF!</v>
      </c>
      <c r="AE86" s="172" t="e">
        <f>$AD$84 + IF($B$2="mil",1,0.0254)*DDR2Specs!$F$9</f>
        <v>#REF!</v>
      </c>
      <c r="AF86" s="173" t="e">
        <f>IF($AC86&lt;$AD86,$AD86-$AC86,"Pass")</f>
        <v>#REF!</v>
      </c>
      <c r="AG86" s="174" t="e">
        <f>IF($AC86&gt;$AE86,$AC86-$AE86,"Pass")</f>
        <v>#REF!</v>
      </c>
      <c r="AH86" s="2"/>
      <c r="AI86" s="2"/>
      <c r="AJ86" s="2"/>
      <c r="AK86" s="2"/>
      <c r="AL86" s="2"/>
      <c r="AM86" s="2"/>
      <c r="AN86" s="2"/>
      <c r="AO86" s="162" t="s">
        <v>244</v>
      </c>
      <c r="AP86" s="307" t="e">
        <f>IF(S86&lt;=IF($B$2="mil",1,0.0254)*750,"Pass",IF($B$2="mil",1,0.0254)*750-S86)</f>
        <v>#REF!</v>
      </c>
      <c r="AQ86" s="2"/>
      <c r="AR86" s="2"/>
      <c r="AS86" s="161" t="s">
        <v>244</v>
      </c>
      <c r="AT86" s="176" t="e">
        <f ca="1">CheckLength2(900,S86,T86,0)</f>
        <v>#NAME?</v>
      </c>
      <c r="AU86" s="176" t="e">
        <f ca="1">CheckLength2(900,S86,U86,0)</f>
        <v>#NAME?</v>
      </c>
      <c r="AV86" s="176" t="e">
        <f t="shared" ref="AV86:AV99" si="52">IF(AND(V86&gt;=IF($B$2="mil",1,0.0254)*500, $V86&lt;=IF($B$2="mil",1,0.0254)*7500),"Pass",IF($B$2="mil",1,0.0254)*7500-$V86)</f>
        <v>#REF!</v>
      </c>
      <c r="AW86" s="307" t="e">
        <f t="shared" ref="AW86:AW99" si="53">IF(AND($W86&gt;=IF($B$2="mil",1,0.0254)*500, $W86&lt;=IF($B$2="mil",1,0.0254)*8000),"Pass",IF($B$2="mil",1,0.0254)*8000-$W86)</f>
        <v>#REF!</v>
      </c>
      <c r="AX86" s="4" t="e">
        <f ca="1">IF(AND(Z86="Pass",AA86="Pass",AT86="Pass",AV86="Pass",AW86="Pass"),"Pass","Fail")</f>
        <v>#REF!</v>
      </c>
      <c r="AY86" s="4" t="e">
        <f ca="1">IF(AND(AX86="Pass",AX87="Pass",AX88="Pass",AX89="Pass",AX90="Pass",AX91="Pass",AX92="Pass",AX93="Pass",AX94="Pass",AX95="Pass",AX96="Pass"),"Pass","Fail")</f>
        <v>#REF!</v>
      </c>
    </row>
    <row r="87" spans="5:51" x14ac:dyDescent="0.2">
      <c r="R87" s="217" t="s">
        <v>87</v>
      </c>
      <c r="S87" s="273">
        <v>500</v>
      </c>
      <c r="T87" s="306">
        <v>93.83</v>
      </c>
      <c r="U87" s="306">
        <v>93.83</v>
      </c>
      <c r="V87" s="287">
        <f t="shared" si="50"/>
        <v>3430.44</v>
      </c>
      <c r="W87" s="172">
        <f t="shared" si="51"/>
        <v>4100.74</v>
      </c>
      <c r="X87" s="172" t="e">
        <f>$Y$84 + IF($B$2="mil",1,0.0254)*DDR2Specs!$E$9</f>
        <v>#REF!</v>
      </c>
      <c r="Y87" s="172" t="e">
        <f>$X$84 + IF($B$2="mil",1,0.0254)*DDR2Specs!$F$9</f>
        <v>#REF!</v>
      </c>
      <c r="Z87" s="173" t="e">
        <f t="shared" ref="Z87:Z99" si="54">IF($W87&lt;$X87,$X87-$W87,"Pass")</f>
        <v>#REF!</v>
      </c>
      <c r="AA87" s="174" t="e">
        <f t="shared" ref="AA87:AA99" si="55">IF($W87&gt;$Y87,$W87-$Y87,"Pass")</f>
        <v>#REF!</v>
      </c>
      <c r="AB87" s="287">
        <f t="shared" ref="AB87:AB107" si="56">SUM($E35:$H35,$M35,$N35,$P35,$Q35,$S87,$U87)</f>
        <v>3430.44</v>
      </c>
      <c r="AC87" s="172">
        <f t="shared" ref="AC87:AC107" si="57">$AB87+$C35</f>
        <v>4100.74</v>
      </c>
      <c r="AD87" s="172" t="e">
        <f>$AE$84 + IF($B$2="mil",1,0.0254)*DDR2Specs!$E$9</f>
        <v>#REF!</v>
      </c>
      <c r="AE87" s="172" t="e">
        <f>$AD$84 + IF($B$2="mil",1,0.0254)*DDR2Specs!$F$9</f>
        <v>#REF!</v>
      </c>
      <c r="AF87" s="173" t="e">
        <f t="shared" ref="AF87:AF107" si="58">IF($AC87&lt;$AD87,$AD87-$AC87,"Pass")</f>
        <v>#REF!</v>
      </c>
      <c r="AG87" s="174" t="e">
        <f t="shared" ref="AG87:AG107" si="59">IF($AC87&gt;$AE87,$AC87-$AE87,"Pass")</f>
        <v>#REF!</v>
      </c>
      <c r="AH87" s="2"/>
      <c r="AI87" s="2"/>
      <c r="AJ87" s="2"/>
      <c r="AK87" s="2"/>
      <c r="AL87" s="2"/>
      <c r="AM87" s="2"/>
      <c r="AN87" s="2"/>
      <c r="AO87" s="217" t="s">
        <v>87</v>
      </c>
      <c r="AP87" s="307" t="e">
        <f t="shared" ref="AP87:AP107" si="60">IF(S87&lt;=IF($B$2="mil",1,0.0254)*750,"Pass",IF($B$2="mil",1,0.0254)*750-S87)</f>
        <v>#REF!</v>
      </c>
      <c r="AQ87" s="2"/>
      <c r="AR87" s="2"/>
      <c r="AS87" s="214" t="s">
        <v>87</v>
      </c>
      <c r="AT87" s="176" t="e">
        <f t="shared" ref="AT87:AT99" ca="1" si="61">CheckLength2(900,S87,T87,0)</f>
        <v>#NAME?</v>
      </c>
      <c r="AU87" s="176" t="e">
        <f t="shared" ref="AU87:AU99" ca="1" si="62">CheckLength2(900,S87,U87,0)</f>
        <v>#NAME?</v>
      </c>
      <c r="AV87" s="176" t="e">
        <f t="shared" si="52"/>
        <v>#REF!</v>
      </c>
      <c r="AW87" s="307" t="e">
        <f t="shared" si="53"/>
        <v>#REF!</v>
      </c>
      <c r="AX87" s="4" t="e">
        <f t="shared" ref="AX87:AX107" ca="1" si="63">IF(AND(Z87="Pass",AA87="Pass",AT87="Pass",AV87="Pass",AW87="Pass"),"Pass","Fail")</f>
        <v>#REF!</v>
      </c>
      <c r="AY87" s="4" t="e">
        <f ca="1">IF(AND(AX97="Pass",AX98="Pass",AX99="Pass",AX101="Pass",AX102="Pass",AX103="Pass",AX105="Pass",AX106="Pass",AX107="Pass"),"Pass","Fail")</f>
        <v>#REF!</v>
      </c>
    </row>
    <row r="88" spans="5:51" x14ac:dyDescent="0.2">
      <c r="R88" s="217" t="s">
        <v>88</v>
      </c>
      <c r="S88" s="273">
        <v>500</v>
      </c>
      <c r="T88" s="306">
        <v>112.45</v>
      </c>
      <c r="U88" s="306">
        <v>112.45</v>
      </c>
      <c r="V88" s="287">
        <f t="shared" si="50"/>
        <v>3369.89</v>
      </c>
      <c r="W88" s="172">
        <f t="shared" si="51"/>
        <v>3956.49</v>
      </c>
      <c r="X88" s="172" t="e">
        <f>$Y$84 + IF($B$2="mil",1,0.0254)*DDR2Specs!$E$9</f>
        <v>#REF!</v>
      </c>
      <c r="Y88" s="172" t="e">
        <f>$X$84 + IF($B$2="mil",1,0.0254)*DDR2Specs!$F$9</f>
        <v>#REF!</v>
      </c>
      <c r="Z88" s="173" t="e">
        <f t="shared" si="54"/>
        <v>#REF!</v>
      </c>
      <c r="AA88" s="174" t="e">
        <f t="shared" si="55"/>
        <v>#REF!</v>
      </c>
      <c r="AB88" s="287">
        <f t="shared" si="56"/>
        <v>3369.89</v>
      </c>
      <c r="AC88" s="172">
        <f t="shared" si="57"/>
        <v>3956.49</v>
      </c>
      <c r="AD88" s="172" t="e">
        <f>$AE$84 + IF($B$2="mil",1,0.0254)*DDR2Specs!$E$9</f>
        <v>#REF!</v>
      </c>
      <c r="AE88" s="172" t="e">
        <f>$AD$84 + IF($B$2="mil",1,0.0254)*DDR2Specs!$F$9</f>
        <v>#REF!</v>
      </c>
      <c r="AF88" s="173" t="e">
        <f t="shared" si="58"/>
        <v>#REF!</v>
      </c>
      <c r="AG88" s="174" t="e">
        <f t="shared" si="59"/>
        <v>#REF!</v>
      </c>
      <c r="AH88" s="2"/>
      <c r="AI88" s="2"/>
      <c r="AJ88" s="2"/>
      <c r="AK88" s="2"/>
      <c r="AL88" s="2"/>
      <c r="AM88" s="2"/>
      <c r="AN88" s="2"/>
      <c r="AO88" s="217" t="s">
        <v>88</v>
      </c>
      <c r="AP88" s="307" t="e">
        <f t="shared" si="60"/>
        <v>#REF!</v>
      </c>
      <c r="AQ88" s="2"/>
      <c r="AR88" s="2"/>
      <c r="AS88" s="214" t="s">
        <v>88</v>
      </c>
      <c r="AT88" s="176" t="e">
        <f t="shared" ca="1" si="61"/>
        <v>#NAME?</v>
      </c>
      <c r="AU88" s="176" t="e">
        <f t="shared" ca="1" si="62"/>
        <v>#NAME?</v>
      </c>
      <c r="AV88" s="176" t="e">
        <f t="shared" si="52"/>
        <v>#REF!</v>
      </c>
      <c r="AW88" s="307" t="e">
        <f t="shared" si="53"/>
        <v>#REF!</v>
      </c>
      <c r="AX88" s="4" t="e">
        <f t="shared" ca="1" si="63"/>
        <v>#REF!</v>
      </c>
      <c r="AY88" s="2"/>
    </row>
    <row r="89" spans="5:51" x14ac:dyDescent="0.2">
      <c r="R89" s="217" t="s">
        <v>89</v>
      </c>
      <c r="S89" s="273">
        <v>300</v>
      </c>
      <c r="T89" s="306">
        <v>76.09</v>
      </c>
      <c r="U89" s="306">
        <v>76.09</v>
      </c>
      <c r="V89" s="287">
        <f t="shared" si="50"/>
        <v>3384.8100000000004</v>
      </c>
      <c r="W89" s="172">
        <f t="shared" si="51"/>
        <v>4369.51</v>
      </c>
      <c r="X89" s="172" t="e">
        <f>$Y$84 + IF($B$2="mil",1,0.0254)*DDR2Specs!$E$9</f>
        <v>#REF!</v>
      </c>
      <c r="Y89" s="172" t="e">
        <f>$X$84 + IF($B$2="mil",1,0.0254)*DDR2Specs!$F$9</f>
        <v>#REF!</v>
      </c>
      <c r="Z89" s="173" t="e">
        <f t="shared" si="54"/>
        <v>#REF!</v>
      </c>
      <c r="AA89" s="174" t="e">
        <f t="shared" si="55"/>
        <v>#REF!</v>
      </c>
      <c r="AB89" s="287">
        <f t="shared" si="56"/>
        <v>3384.8100000000004</v>
      </c>
      <c r="AC89" s="172">
        <f t="shared" si="57"/>
        <v>4369.51</v>
      </c>
      <c r="AD89" s="172" t="e">
        <f>$AE$84 + IF($B$2="mil",1,0.0254)*DDR2Specs!$E$9</f>
        <v>#REF!</v>
      </c>
      <c r="AE89" s="172" t="e">
        <f>$AD$84 + IF($B$2="mil",1,0.0254)*DDR2Specs!$F$9</f>
        <v>#REF!</v>
      </c>
      <c r="AF89" s="173" t="e">
        <f t="shared" si="58"/>
        <v>#REF!</v>
      </c>
      <c r="AG89" s="174" t="e">
        <f t="shared" si="59"/>
        <v>#REF!</v>
      </c>
      <c r="AH89" s="2"/>
      <c r="AI89" s="2"/>
      <c r="AJ89" s="2"/>
      <c r="AK89" s="2"/>
      <c r="AL89" s="2"/>
      <c r="AM89" s="2"/>
      <c r="AN89" s="2"/>
      <c r="AO89" s="217" t="s">
        <v>89</v>
      </c>
      <c r="AP89" s="307" t="e">
        <f t="shared" si="60"/>
        <v>#REF!</v>
      </c>
      <c r="AQ89" s="2"/>
      <c r="AR89" s="2"/>
      <c r="AS89" s="214" t="s">
        <v>89</v>
      </c>
      <c r="AT89" s="176" t="e">
        <f t="shared" ca="1" si="61"/>
        <v>#NAME?</v>
      </c>
      <c r="AU89" s="176" t="e">
        <f t="shared" ca="1" si="62"/>
        <v>#NAME?</v>
      </c>
      <c r="AV89" s="176" t="e">
        <f t="shared" si="52"/>
        <v>#REF!</v>
      </c>
      <c r="AW89" s="307" t="e">
        <f t="shared" si="53"/>
        <v>#REF!</v>
      </c>
      <c r="AX89" s="4" t="e">
        <f t="shared" ca="1" si="63"/>
        <v>#REF!</v>
      </c>
      <c r="AY89" s="2"/>
    </row>
    <row r="90" spans="5:51" x14ac:dyDescent="0.2">
      <c r="F90" t="s">
        <v>324</v>
      </c>
      <c r="G90" s="339" t="s">
        <v>328</v>
      </c>
      <c r="R90" s="217" t="s">
        <v>90</v>
      </c>
      <c r="S90" s="273">
        <v>600</v>
      </c>
      <c r="T90" s="306">
        <v>70.48</v>
      </c>
      <c r="U90" s="306">
        <v>70.48</v>
      </c>
      <c r="V90" s="287">
        <f t="shared" si="50"/>
        <v>3249.7999999999997</v>
      </c>
      <c r="W90" s="172">
        <f t="shared" si="51"/>
        <v>3733.1</v>
      </c>
      <c r="X90" s="172" t="e">
        <f>$Y$84 + IF($B$2="mil",1,0.0254)*DDR2Specs!$E$9</f>
        <v>#REF!</v>
      </c>
      <c r="Y90" s="172" t="e">
        <f>$X$84 + IF($B$2="mil",1,0.0254)*DDR2Specs!$F$9</f>
        <v>#REF!</v>
      </c>
      <c r="Z90" s="173" t="e">
        <f t="shared" si="54"/>
        <v>#REF!</v>
      </c>
      <c r="AA90" s="174" t="e">
        <f t="shared" si="55"/>
        <v>#REF!</v>
      </c>
      <c r="AB90" s="287">
        <f t="shared" si="56"/>
        <v>3249.7999999999997</v>
      </c>
      <c r="AC90" s="172">
        <f t="shared" si="57"/>
        <v>3733.1</v>
      </c>
      <c r="AD90" s="172" t="e">
        <f>$AE$84 + IF($B$2="mil",1,0.0254)*DDR2Specs!$E$9</f>
        <v>#REF!</v>
      </c>
      <c r="AE90" s="172" t="e">
        <f>$AD$84 + IF($B$2="mil",1,0.0254)*DDR2Specs!$F$9</f>
        <v>#REF!</v>
      </c>
      <c r="AF90" s="173" t="e">
        <f t="shared" si="58"/>
        <v>#REF!</v>
      </c>
      <c r="AG90" s="174" t="e">
        <f t="shared" si="59"/>
        <v>#REF!</v>
      </c>
      <c r="AH90" s="2"/>
      <c r="AI90" s="2"/>
      <c r="AJ90" s="2"/>
      <c r="AK90" s="2"/>
      <c r="AL90" s="2"/>
      <c r="AM90" s="2"/>
      <c r="AN90" s="2"/>
      <c r="AO90" s="217" t="s">
        <v>90</v>
      </c>
      <c r="AP90" s="307" t="e">
        <f t="shared" si="60"/>
        <v>#REF!</v>
      </c>
      <c r="AQ90" s="2"/>
      <c r="AR90" s="2"/>
      <c r="AS90" s="214" t="s">
        <v>90</v>
      </c>
      <c r="AT90" s="176" t="e">
        <f t="shared" ca="1" si="61"/>
        <v>#NAME?</v>
      </c>
      <c r="AU90" s="176" t="e">
        <f t="shared" ca="1" si="62"/>
        <v>#NAME?</v>
      </c>
      <c r="AV90" s="176" t="e">
        <f t="shared" si="52"/>
        <v>#REF!</v>
      </c>
      <c r="AW90" s="307" t="e">
        <f t="shared" si="53"/>
        <v>#REF!</v>
      </c>
      <c r="AX90" s="4" t="e">
        <f t="shared" ca="1" si="63"/>
        <v>#REF!</v>
      </c>
      <c r="AY90" s="2"/>
    </row>
    <row r="91" spans="5:51" x14ac:dyDescent="0.2">
      <c r="E91" s="334" t="s">
        <v>329</v>
      </c>
      <c r="F91" s="334" t="s">
        <v>293</v>
      </c>
      <c r="G91" s="338" t="s">
        <v>299</v>
      </c>
      <c r="H91" t="s">
        <v>323</v>
      </c>
      <c r="R91" s="217" t="s">
        <v>91</v>
      </c>
      <c r="S91" s="273">
        <v>200</v>
      </c>
      <c r="T91" s="306">
        <v>45.3</v>
      </c>
      <c r="U91" s="306">
        <v>45.3</v>
      </c>
      <c r="V91" s="287">
        <f t="shared" si="50"/>
        <v>3407.94</v>
      </c>
      <c r="W91" s="172">
        <f t="shared" si="51"/>
        <v>3918.84</v>
      </c>
      <c r="X91" s="172" t="e">
        <f>$Y$84 + IF($B$2="mil",1,0.0254)*DDR2Specs!$E$9</f>
        <v>#REF!</v>
      </c>
      <c r="Y91" s="172" t="e">
        <f>$X$84 + IF($B$2="mil",1,0.0254)*DDR2Specs!$F$9</f>
        <v>#REF!</v>
      </c>
      <c r="Z91" s="173" t="e">
        <f t="shared" si="54"/>
        <v>#REF!</v>
      </c>
      <c r="AA91" s="174" t="e">
        <f t="shared" si="55"/>
        <v>#REF!</v>
      </c>
      <c r="AB91" s="287">
        <f t="shared" si="56"/>
        <v>3407.94</v>
      </c>
      <c r="AC91" s="172">
        <f t="shared" si="57"/>
        <v>3918.84</v>
      </c>
      <c r="AD91" s="172" t="e">
        <f>$AE$84 + IF($B$2="mil",1,0.0254)*DDR2Specs!$E$9</f>
        <v>#REF!</v>
      </c>
      <c r="AE91" s="172" t="e">
        <f>$AD$84 + IF($B$2="mil",1,0.0254)*DDR2Specs!$F$9</f>
        <v>#REF!</v>
      </c>
      <c r="AF91" s="173" t="e">
        <f t="shared" si="58"/>
        <v>#REF!</v>
      </c>
      <c r="AG91" s="174" t="e">
        <f t="shared" si="59"/>
        <v>#REF!</v>
      </c>
      <c r="AH91" s="2"/>
      <c r="AI91" s="2"/>
      <c r="AJ91" s="2"/>
      <c r="AK91" s="2"/>
      <c r="AL91" s="2"/>
      <c r="AM91" s="2"/>
      <c r="AN91" s="2"/>
      <c r="AO91" s="217" t="s">
        <v>91</v>
      </c>
      <c r="AP91" s="307" t="e">
        <f t="shared" si="60"/>
        <v>#REF!</v>
      </c>
      <c r="AQ91" s="2"/>
      <c r="AR91" s="2"/>
      <c r="AS91" s="214" t="s">
        <v>91</v>
      </c>
      <c r="AT91" s="176" t="e">
        <f t="shared" ca="1" si="61"/>
        <v>#NAME?</v>
      </c>
      <c r="AU91" s="176" t="e">
        <f t="shared" ca="1" si="62"/>
        <v>#NAME?</v>
      </c>
      <c r="AV91" s="176" t="e">
        <f t="shared" si="52"/>
        <v>#REF!</v>
      </c>
      <c r="AW91" s="307" t="e">
        <f t="shared" si="53"/>
        <v>#REF!</v>
      </c>
      <c r="AX91" s="4" t="e">
        <f t="shared" ca="1" si="63"/>
        <v>#REF!</v>
      </c>
      <c r="AY91" s="2"/>
    </row>
    <row r="92" spans="5:51" x14ac:dyDescent="0.2">
      <c r="F92" s="334" t="s">
        <v>294</v>
      </c>
      <c r="G92" s="338" t="s">
        <v>300</v>
      </c>
      <c r="R92" s="217" t="s">
        <v>92</v>
      </c>
      <c r="S92" s="273">
        <v>200</v>
      </c>
      <c r="T92" s="306">
        <v>76.069999999999993</v>
      </c>
      <c r="U92" s="306">
        <v>76.069999999999993</v>
      </c>
      <c r="V92" s="287">
        <f t="shared" si="50"/>
        <v>3460.18</v>
      </c>
      <c r="W92" s="172">
        <f t="shared" si="51"/>
        <v>3967.7799999999997</v>
      </c>
      <c r="X92" s="172" t="e">
        <f>$Y$84 + IF($B$2="mil",1,0.0254)*DDR2Specs!$E$9</f>
        <v>#REF!</v>
      </c>
      <c r="Y92" s="172" t="e">
        <f>$X$84 + IF($B$2="mil",1,0.0254)*DDR2Specs!$F$9</f>
        <v>#REF!</v>
      </c>
      <c r="Z92" s="173" t="e">
        <f t="shared" si="54"/>
        <v>#REF!</v>
      </c>
      <c r="AA92" s="174" t="e">
        <f t="shared" si="55"/>
        <v>#REF!</v>
      </c>
      <c r="AB92" s="287">
        <f t="shared" si="56"/>
        <v>3460.18</v>
      </c>
      <c r="AC92" s="172">
        <f t="shared" si="57"/>
        <v>3967.7799999999997</v>
      </c>
      <c r="AD92" s="172" t="e">
        <f>$AE$84 + IF($B$2="mil",1,0.0254)*DDR2Specs!$E$9</f>
        <v>#REF!</v>
      </c>
      <c r="AE92" s="172" t="e">
        <f>$AD$84 + IF($B$2="mil",1,0.0254)*DDR2Specs!$F$9</f>
        <v>#REF!</v>
      </c>
      <c r="AF92" s="173" t="e">
        <f t="shared" si="58"/>
        <v>#REF!</v>
      </c>
      <c r="AG92" s="174" t="e">
        <f t="shared" si="59"/>
        <v>#REF!</v>
      </c>
      <c r="AH92" s="2"/>
      <c r="AI92" s="2"/>
      <c r="AJ92" s="2"/>
      <c r="AK92" s="2"/>
      <c r="AL92" s="2"/>
      <c r="AM92" s="2"/>
      <c r="AN92" s="2"/>
      <c r="AO92" s="217" t="s">
        <v>92</v>
      </c>
      <c r="AP92" s="307" t="e">
        <f t="shared" si="60"/>
        <v>#REF!</v>
      </c>
      <c r="AQ92" s="2"/>
      <c r="AR92" s="2"/>
      <c r="AS92" s="214" t="s">
        <v>92</v>
      </c>
      <c r="AT92" s="176" t="e">
        <f t="shared" ca="1" si="61"/>
        <v>#NAME?</v>
      </c>
      <c r="AU92" s="176" t="e">
        <f t="shared" ca="1" si="62"/>
        <v>#NAME?</v>
      </c>
      <c r="AV92" s="176" t="e">
        <f t="shared" si="52"/>
        <v>#REF!</v>
      </c>
      <c r="AW92" s="307" t="e">
        <f t="shared" si="53"/>
        <v>#REF!</v>
      </c>
      <c r="AX92" s="4" t="e">
        <f t="shared" ca="1" si="63"/>
        <v>#REF!</v>
      </c>
      <c r="AY92" s="2"/>
    </row>
    <row r="93" spans="5:51" x14ac:dyDescent="0.2">
      <c r="F93" s="334" t="s">
        <v>296</v>
      </c>
      <c r="G93" s="338" t="s">
        <v>301</v>
      </c>
      <c r="R93" s="217" t="s">
        <v>94</v>
      </c>
      <c r="S93" s="273">
        <v>200</v>
      </c>
      <c r="T93" s="306">
        <v>76.09</v>
      </c>
      <c r="U93" s="306">
        <v>76.09</v>
      </c>
      <c r="V93" s="287">
        <f t="shared" si="50"/>
        <v>3342.45</v>
      </c>
      <c r="W93" s="172">
        <f t="shared" si="51"/>
        <v>3838.0499999999997</v>
      </c>
      <c r="X93" s="172" t="e">
        <f>$Y$84 + IF($B$2="mil",1,0.0254)*DDR2Specs!$E$9</f>
        <v>#REF!</v>
      </c>
      <c r="Y93" s="172" t="e">
        <f>$X$84 + IF($B$2="mil",1,0.0254)*DDR2Specs!$F$9</f>
        <v>#REF!</v>
      </c>
      <c r="Z93" s="173" t="e">
        <f t="shared" si="54"/>
        <v>#REF!</v>
      </c>
      <c r="AA93" s="174" t="e">
        <f t="shared" si="55"/>
        <v>#REF!</v>
      </c>
      <c r="AB93" s="287">
        <f t="shared" si="56"/>
        <v>3342.45</v>
      </c>
      <c r="AC93" s="172">
        <f t="shared" si="57"/>
        <v>3838.0499999999997</v>
      </c>
      <c r="AD93" s="172" t="e">
        <f>$AE$84 + IF($B$2="mil",1,0.0254)*DDR2Specs!$E$9</f>
        <v>#REF!</v>
      </c>
      <c r="AE93" s="172" t="e">
        <f>$AD$84 + IF($B$2="mil",1,0.0254)*DDR2Specs!$F$9</f>
        <v>#REF!</v>
      </c>
      <c r="AF93" s="173" t="e">
        <f t="shared" si="58"/>
        <v>#REF!</v>
      </c>
      <c r="AG93" s="174" t="e">
        <f t="shared" si="59"/>
        <v>#REF!</v>
      </c>
      <c r="AH93" s="2"/>
      <c r="AI93" s="2"/>
      <c r="AJ93" s="2"/>
      <c r="AK93" s="2"/>
      <c r="AL93" s="2"/>
      <c r="AM93" s="2"/>
      <c r="AN93" s="2"/>
      <c r="AO93" s="217" t="s">
        <v>94</v>
      </c>
      <c r="AP93" s="307" t="e">
        <f t="shared" si="60"/>
        <v>#REF!</v>
      </c>
      <c r="AQ93" s="2"/>
      <c r="AR93" s="2"/>
      <c r="AS93" s="214" t="s">
        <v>94</v>
      </c>
      <c r="AT93" s="176" t="e">
        <f t="shared" ca="1" si="61"/>
        <v>#NAME?</v>
      </c>
      <c r="AU93" s="176" t="e">
        <f t="shared" ca="1" si="62"/>
        <v>#NAME?</v>
      </c>
      <c r="AV93" s="176" t="e">
        <f t="shared" si="52"/>
        <v>#REF!</v>
      </c>
      <c r="AW93" s="307" t="e">
        <f t="shared" si="53"/>
        <v>#REF!</v>
      </c>
      <c r="AX93" s="4" t="e">
        <f t="shared" ca="1" si="63"/>
        <v>#REF!</v>
      </c>
      <c r="AY93" s="2"/>
    </row>
    <row r="94" spans="5:51" x14ac:dyDescent="0.2">
      <c r="F94" s="334" t="s">
        <v>295</v>
      </c>
      <c r="G94" s="338" t="s">
        <v>302</v>
      </c>
      <c r="R94" s="217" t="s">
        <v>95</v>
      </c>
      <c r="S94" s="273">
        <v>750</v>
      </c>
      <c r="T94" s="306">
        <v>55.8</v>
      </c>
      <c r="U94" s="306">
        <v>55.8</v>
      </c>
      <c r="V94" s="287">
        <f t="shared" si="50"/>
        <v>3382.5200000000004</v>
      </c>
      <c r="W94" s="172">
        <f t="shared" si="51"/>
        <v>3946.2200000000003</v>
      </c>
      <c r="X94" s="172" t="e">
        <f>$Y$84 + IF($B$2="mil",1,0.0254)*DDR2Specs!$E$9</f>
        <v>#REF!</v>
      </c>
      <c r="Y94" s="172" t="e">
        <f>$X$84 + IF($B$2="mil",1,0.0254)*DDR2Specs!$F$9</f>
        <v>#REF!</v>
      </c>
      <c r="Z94" s="173" t="e">
        <f>IF($W94&lt;$X94,$X94-$W94,"Pass")</f>
        <v>#REF!</v>
      </c>
      <c r="AA94" s="174" t="e">
        <f t="shared" si="55"/>
        <v>#REF!</v>
      </c>
      <c r="AB94" s="287">
        <f t="shared" si="56"/>
        <v>3382.5200000000004</v>
      </c>
      <c r="AC94" s="172">
        <f t="shared" si="57"/>
        <v>3946.2200000000003</v>
      </c>
      <c r="AD94" s="172" t="e">
        <f>$AE$84 + IF($B$2="mil",1,0.0254)*DDR2Specs!$E$9</f>
        <v>#REF!</v>
      </c>
      <c r="AE94" s="172" t="e">
        <f>$AD$84 + IF($B$2="mil",1,0.0254)*DDR2Specs!$F$9</f>
        <v>#REF!</v>
      </c>
      <c r="AF94" s="173" t="e">
        <f t="shared" si="58"/>
        <v>#REF!</v>
      </c>
      <c r="AG94" s="174" t="e">
        <f t="shared" si="59"/>
        <v>#REF!</v>
      </c>
      <c r="AH94" s="2"/>
      <c r="AI94" s="2"/>
      <c r="AJ94" s="2"/>
      <c r="AK94" s="2"/>
      <c r="AL94" s="2"/>
      <c r="AM94" s="2"/>
      <c r="AN94" s="2"/>
      <c r="AO94" s="217" t="s">
        <v>95</v>
      </c>
      <c r="AP94" s="307" t="e">
        <f t="shared" si="60"/>
        <v>#REF!</v>
      </c>
      <c r="AQ94" s="2"/>
      <c r="AR94" s="2"/>
      <c r="AS94" s="214" t="s">
        <v>95</v>
      </c>
      <c r="AT94" s="176" t="e">
        <f t="shared" ca="1" si="61"/>
        <v>#NAME?</v>
      </c>
      <c r="AU94" s="176" t="e">
        <f t="shared" ca="1" si="62"/>
        <v>#NAME?</v>
      </c>
      <c r="AV94" s="176" t="e">
        <f t="shared" si="52"/>
        <v>#REF!</v>
      </c>
      <c r="AW94" s="307" t="e">
        <f t="shared" si="53"/>
        <v>#REF!</v>
      </c>
      <c r="AX94" s="4" t="e">
        <f t="shared" ca="1" si="63"/>
        <v>#REF!</v>
      </c>
      <c r="AY94" s="2"/>
    </row>
    <row r="95" spans="5:51" x14ac:dyDescent="0.2">
      <c r="R95" s="217" t="s">
        <v>96</v>
      </c>
      <c r="S95" s="273">
        <v>350</v>
      </c>
      <c r="T95" s="306">
        <v>73.59</v>
      </c>
      <c r="U95" s="306">
        <v>73.59</v>
      </c>
      <c r="V95" s="287">
        <f t="shared" si="50"/>
        <v>3648.3599999999997</v>
      </c>
      <c r="W95" s="172">
        <f t="shared" si="51"/>
        <v>4477.66</v>
      </c>
      <c r="X95" s="172" t="e">
        <f>$Y$84 + IF($B$2="mil",1,0.0254)*DDR2Specs!$E$9</f>
        <v>#REF!</v>
      </c>
      <c r="Y95" s="172" t="e">
        <f>$X$84 + IF($B$2="mil",1,0.0254)*DDR2Specs!$F$9</f>
        <v>#REF!</v>
      </c>
      <c r="Z95" s="173" t="e">
        <f t="shared" si="54"/>
        <v>#REF!</v>
      </c>
      <c r="AA95" s="174" t="e">
        <f t="shared" si="55"/>
        <v>#REF!</v>
      </c>
      <c r="AB95" s="287">
        <f t="shared" si="56"/>
        <v>3648.3599999999997</v>
      </c>
      <c r="AC95" s="172">
        <f t="shared" si="57"/>
        <v>4477.66</v>
      </c>
      <c r="AD95" s="172" t="e">
        <f>$AE$84 + IF($B$2="mil",1,0.0254)*DDR2Specs!$E$9</f>
        <v>#REF!</v>
      </c>
      <c r="AE95" s="172" t="e">
        <f>$AD$84 + IF($B$2="mil",1,0.0254)*DDR2Specs!$F$9</f>
        <v>#REF!</v>
      </c>
      <c r="AF95" s="173" t="e">
        <f t="shared" si="58"/>
        <v>#REF!</v>
      </c>
      <c r="AG95" s="174" t="e">
        <f t="shared" si="59"/>
        <v>#REF!</v>
      </c>
      <c r="AH95" s="2"/>
      <c r="AI95" s="2"/>
      <c r="AJ95" s="2"/>
      <c r="AK95" s="2"/>
      <c r="AL95" s="2"/>
      <c r="AM95" s="2"/>
      <c r="AN95" s="2"/>
      <c r="AO95" s="217" t="s">
        <v>96</v>
      </c>
      <c r="AP95" s="307" t="e">
        <f t="shared" si="60"/>
        <v>#REF!</v>
      </c>
      <c r="AQ95" s="2"/>
      <c r="AR95" s="2"/>
      <c r="AS95" s="214" t="s">
        <v>96</v>
      </c>
      <c r="AT95" s="176" t="e">
        <f t="shared" ca="1" si="61"/>
        <v>#NAME?</v>
      </c>
      <c r="AU95" s="176" t="e">
        <f t="shared" ca="1" si="62"/>
        <v>#NAME?</v>
      </c>
      <c r="AV95" s="176" t="e">
        <f t="shared" si="52"/>
        <v>#REF!</v>
      </c>
      <c r="AW95" s="307" t="e">
        <f t="shared" si="53"/>
        <v>#REF!</v>
      </c>
      <c r="AX95" s="4" t="e">
        <f t="shared" ca="1" si="63"/>
        <v>#REF!</v>
      </c>
      <c r="AY95" s="2"/>
    </row>
    <row r="96" spans="5:51" x14ac:dyDescent="0.2">
      <c r="R96" s="217" t="s">
        <v>98</v>
      </c>
      <c r="S96" s="273">
        <v>250</v>
      </c>
      <c r="T96" s="306">
        <v>31.54</v>
      </c>
      <c r="U96" s="306">
        <v>31.54</v>
      </c>
      <c r="V96" s="287">
        <f t="shared" si="50"/>
        <v>3451.33</v>
      </c>
      <c r="W96" s="172">
        <f t="shared" si="51"/>
        <v>4018.23</v>
      </c>
      <c r="X96" s="172" t="e">
        <f>$Y$84 + IF($B$2="mil",1,0.0254)*DDR2Specs!$E$9</f>
        <v>#REF!</v>
      </c>
      <c r="Y96" s="172" t="e">
        <f>$X$84 + IF($B$2="mil",1,0.0254)*DDR2Specs!$F$9</f>
        <v>#REF!</v>
      </c>
      <c r="Z96" s="173" t="e">
        <f t="shared" si="54"/>
        <v>#REF!</v>
      </c>
      <c r="AA96" s="174" t="e">
        <f t="shared" si="55"/>
        <v>#REF!</v>
      </c>
      <c r="AB96" s="287">
        <f t="shared" si="56"/>
        <v>3451.33</v>
      </c>
      <c r="AC96" s="172">
        <f t="shared" si="57"/>
        <v>4018.23</v>
      </c>
      <c r="AD96" s="172" t="e">
        <f>$AE$84 + IF($B$2="mil",1,0.0254)*DDR2Specs!$E$9</f>
        <v>#REF!</v>
      </c>
      <c r="AE96" s="172" t="e">
        <f>$AD$84 + IF($B$2="mil",1,0.0254)*DDR2Specs!$F$9</f>
        <v>#REF!</v>
      </c>
      <c r="AF96" s="173" t="e">
        <f t="shared" si="58"/>
        <v>#REF!</v>
      </c>
      <c r="AG96" s="174" t="e">
        <f t="shared" si="59"/>
        <v>#REF!</v>
      </c>
      <c r="AH96" s="2"/>
      <c r="AI96" s="2"/>
      <c r="AJ96" s="2"/>
      <c r="AK96" s="2"/>
      <c r="AL96" s="2"/>
      <c r="AM96" s="2"/>
      <c r="AN96" s="2"/>
      <c r="AO96" s="217" t="s">
        <v>98</v>
      </c>
      <c r="AP96" s="307" t="e">
        <f t="shared" si="60"/>
        <v>#REF!</v>
      </c>
      <c r="AQ96" s="2"/>
      <c r="AR96" s="2"/>
      <c r="AS96" s="214" t="s">
        <v>98</v>
      </c>
      <c r="AT96" s="176" t="e">
        <f t="shared" ca="1" si="61"/>
        <v>#NAME?</v>
      </c>
      <c r="AU96" s="176" t="e">
        <f t="shared" ca="1" si="62"/>
        <v>#NAME?</v>
      </c>
      <c r="AV96" s="176" t="e">
        <f t="shared" si="52"/>
        <v>#REF!</v>
      </c>
      <c r="AW96" s="307" t="e">
        <f t="shared" si="53"/>
        <v>#REF!</v>
      </c>
      <c r="AX96" s="4" t="e">
        <f t="shared" ca="1" si="63"/>
        <v>#REF!</v>
      </c>
      <c r="AY96" s="2"/>
    </row>
    <row r="97" spans="18:51" x14ac:dyDescent="0.2">
      <c r="R97" s="217" t="s">
        <v>99</v>
      </c>
      <c r="S97" s="273">
        <v>250</v>
      </c>
      <c r="T97" s="306">
        <v>69.180000000000007</v>
      </c>
      <c r="U97" s="306">
        <v>69.180000000000007</v>
      </c>
      <c r="V97" s="287">
        <f t="shared" si="50"/>
        <v>3515.2299999999996</v>
      </c>
      <c r="W97" s="172">
        <f t="shared" si="51"/>
        <v>4254.9299999999994</v>
      </c>
      <c r="X97" s="172" t="e">
        <f>$Y$84 + IF($B$2="mil",1,0.0254)*DDR2Specs!$E$9</f>
        <v>#REF!</v>
      </c>
      <c r="Y97" s="172" t="e">
        <f>$X$84 + IF($B$2="mil",1,0.0254)*DDR2Specs!$F$9</f>
        <v>#REF!</v>
      </c>
      <c r="Z97" s="173" t="e">
        <f t="shared" si="54"/>
        <v>#REF!</v>
      </c>
      <c r="AA97" s="174" t="e">
        <f t="shared" si="55"/>
        <v>#REF!</v>
      </c>
      <c r="AB97" s="287">
        <f t="shared" si="56"/>
        <v>3515.2299999999996</v>
      </c>
      <c r="AC97" s="172">
        <f t="shared" si="57"/>
        <v>4254.9299999999994</v>
      </c>
      <c r="AD97" s="172" t="e">
        <f>$AE$84 + IF($B$2="mil",1,0.0254)*DDR2Specs!$E$9</f>
        <v>#REF!</v>
      </c>
      <c r="AE97" s="172" t="e">
        <f>$AD$84 + IF($B$2="mil",1,0.0254)*DDR2Specs!$F$9</f>
        <v>#REF!</v>
      </c>
      <c r="AF97" s="173" t="e">
        <f t="shared" si="58"/>
        <v>#REF!</v>
      </c>
      <c r="AG97" s="174" t="e">
        <f t="shared" si="59"/>
        <v>#REF!</v>
      </c>
      <c r="AH97" s="2"/>
      <c r="AI97" s="2"/>
      <c r="AJ97" s="2"/>
      <c r="AK97" s="2"/>
      <c r="AL97" s="2"/>
      <c r="AM97" s="2"/>
      <c r="AN97" s="2"/>
      <c r="AO97" s="217" t="s">
        <v>99</v>
      </c>
      <c r="AP97" s="307" t="e">
        <f t="shared" si="60"/>
        <v>#REF!</v>
      </c>
      <c r="AQ97" s="2"/>
      <c r="AR97" s="2"/>
      <c r="AS97" s="214" t="s">
        <v>99</v>
      </c>
      <c r="AT97" s="176" t="e">
        <f t="shared" ca="1" si="61"/>
        <v>#NAME?</v>
      </c>
      <c r="AU97" s="176" t="e">
        <f t="shared" ca="1" si="62"/>
        <v>#NAME?</v>
      </c>
      <c r="AV97" s="176" t="e">
        <f t="shared" si="52"/>
        <v>#REF!</v>
      </c>
      <c r="AW97" s="307" t="e">
        <f t="shared" si="53"/>
        <v>#REF!</v>
      </c>
      <c r="AX97" s="4" t="e">
        <f t="shared" ca="1" si="63"/>
        <v>#REF!</v>
      </c>
      <c r="AY97" s="2"/>
    </row>
    <row r="98" spans="18:51" x14ac:dyDescent="0.2">
      <c r="R98" s="217" t="s">
        <v>100</v>
      </c>
      <c r="S98" s="273">
        <v>140</v>
      </c>
      <c r="T98" s="306">
        <v>29.07</v>
      </c>
      <c r="U98" s="306">
        <v>29.07</v>
      </c>
      <c r="V98" s="287">
        <f t="shared" si="50"/>
        <v>3575.84</v>
      </c>
      <c r="W98" s="172">
        <f t="shared" si="51"/>
        <v>4318.04</v>
      </c>
      <c r="X98" s="172" t="e">
        <f>$Y$84 + IF($B$2="mil",1,0.0254)*DDR2Specs!$E$9</f>
        <v>#REF!</v>
      </c>
      <c r="Y98" s="172" t="e">
        <f>$X$84 + IF($B$2="mil",1,0.0254)*DDR2Specs!$F$9</f>
        <v>#REF!</v>
      </c>
      <c r="Z98" s="173" t="e">
        <f t="shared" si="54"/>
        <v>#REF!</v>
      </c>
      <c r="AA98" s="174" t="e">
        <f t="shared" si="55"/>
        <v>#REF!</v>
      </c>
      <c r="AB98" s="287">
        <f t="shared" si="56"/>
        <v>3575.84</v>
      </c>
      <c r="AC98" s="172">
        <f t="shared" si="57"/>
        <v>4318.04</v>
      </c>
      <c r="AD98" s="172" t="e">
        <f>$AE$84 + IF($B$2="mil",1,0.0254)*DDR2Specs!$E$9</f>
        <v>#REF!</v>
      </c>
      <c r="AE98" s="172" t="e">
        <f>$AD$84 + IF($B$2="mil",1,0.0254)*DDR2Specs!$F$9</f>
        <v>#REF!</v>
      </c>
      <c r="AF98" s="173" t="e">
        <f t="shared" si="58"/>
        <v>#REF!</v>
      </c>
      <c r="AG98" s="174" t="e">
        <f t="shared" si="59"/>
        <v>#REF!</v>
      </c>
      <c r="AH98" s="2"/>
      <c r="AI98" s="2"/>
      <c r="AJ98" s="2"/>
      <c r="AK98" s="2"/>
      <c r="AL98" s="2"/>
      <c r="AM98" s="2"/>
      <c r="AN98" s="2"/>
      <c r="AO98" s="217" t="s">
        <v>100</v>
      </c>
      <c r="AP98" s="307" t="e">
        <f t="shared" si="60"/>
        <v>#REF!</v>
      </c>
      <c r="AQ98" s="2"/>
      <c r="AR98" s="2"/>
      <c r="AS98" s="214" t="s">
        <v>100</v>
      </c>
      <c r="AT98" s="176" t="e">
        <f t="shared" ca="1" si="61"/>
        <v>#NAME?</v>
      </c>
      <c r="AU98" s="176" t="e">
        <f t="shared" ca="1" si="62"/>
        <v>#NAME?</v>
      </c>
      <c r="AV98" s="176" t="e">
        <f t="shared" si="52"/>
        <v>#REF!</v>
      </c>
      <c r="AW98" s="307" t="e">
        <f t="shared" si="53"/>
        <v>#REF!</v>
      </c>
      <c r="AX98" s="4" t="e">
        <f t="shared" ca="1" si="63"/>
        <v>#REF!</v>
      </c>
      <c r="AY98" s="2"/>
    </row>
    <row r="99" spans="18:51" x14ac:dyDescent="0.2">
      <c r="R99" s="217" t="s">
        <v>101</v>
      </c>
      <c r="S99" s="273">
        <v>120</v>
      </c>
      <c r="T99" s="306">
        <v>29.07</v>
      </c>
      <c r="U99" s="306">
        <v>29.07</v>
      </c>
      <c r="V99" s="287">
        <f t="shared" si="50"/>
        <v>3455.84</v>
      </c>
      <c r="W99" s="172">
        <f t="shared" si="51"/>
        <v>3957.84</v>
      </c>
      <c r="X99" s="172" t="e">
        <f>$Y$84 + IF($B$2="mil",1,0.0254)*DDR2Specs!$E$9</f>
        <v>#REF!</v>
      </c>
      <c r="Y99" s="172" t="e">
        <f>$X$84 + IF($B$2="mil",1,0.0254)*DDR2Specs!$F$9</f>
        <v>#REF!</v>
      </c>
      <c r="Z99" s="173" t="e">
        <f t="shared" si="54"/>
        <v>#REF!</v>
      </c>
      <c r="AA99" s="174" t="e">
        <f t="shared" si="55"/>
        <v>#REF!</v>
      </c>
      <c r="AB99" s="287">
        <f t="shared" si="56"/>
        <v>3455.84</v>
      </c>
      <c r="AC99" s="172">
        <f t="shared" si="57"/>
        <v>3957.84</v>
      </c>
      <c r="AD99" s="172" t="e">
        <f>$AE$84 + IF($B$2="mil",1,0.0254)*DDR2Specs!$E$9</f>
        <v>#REF!</v>
      </c>
      <c r="AE99" s="172" t="e">
        <f>$AD$84 + IF($B$2="mil",1,0.0254)*DDR2Specs!$F$9</f>
        <v>#REF!</v>
      </c>
      <c r="AF99" s="173" t="e">
        <f t="shared" si="58"/>
        <v>#REF!</v>
      </c>
      <c r="AG99" s="174" t="e">
        <f t="shared" si="59"/>
        <v>#REF!</v>
      </c>
      <c r="AH99" s="2"/>
      <c r="AI99" s="2"/>
      <c r="AJ99" s="2"/>
      <c r="AK99" s="2"/>
      <c r="AL99" s="2"/>
      <c r="AM99" s="2"/>
      <c r="AN99" s="2"/>
      <c r="AO99" s="217" t="s">
        <v>101</v>
      </c>
      <c r="AP99" s="307" t="e">
        <f t="shared" si="60"/>
        <v>#REF!</v>
      </c>
      <c r="AQ99" s="2"/>
      <c r="AR99" s="2"/>
      <c r="AS99" s="214" t="s">
        <v>101</v>
      </c>
      <c r="AT99" s="176" t="e">
        <f t="shared" ca="1" si="61"/>
        <v>#NAME?</v>
      </c>
      <c r="AU99" s="176" t="e">
        <f t="shared" ca="1" si="62"/>
        <v>#NAME?</v>
      </c>
      <c r="AV99" s="176" t="e">
        <f t="shared" si="52"/>
        <v>#REF!</v>
      </c>
      <c r="AW99" s="307" t="e">
        <f t="shared" si="53"/>
        <v>#REF!</v>
      </c>
      <c r="AX99" s="4" t="e">
        <f t="shared" ca="1" si="63"/>
        <v>#REF!</v>
      </c>
      <c r="AY99" s="2"/>
    </row>
    <row r="100" spans="18:51" x14ac:dyDescent="0.2">
      <c r="R100" s="180" t="s">
        <v>278</v>
      </c>
      <c r="S100" s="298"/>
      <c r="T100" s="291"/>
      <c r="U100" s="291"/>
      <c r="V100" s="184"/>
      <c r="W100" s="184"/>
      <c r="X100" s="184"/>
      <c r="Y100" s="184"/>
      <c r="Z100" s="187"/>
      <c r="AA100" s="187"/>
      <c r="AB100" s="184"/>
      <c r="AC100" s="184"/>
      <c r="AD100" s="184"/>
      <c r="AE100" s="184"/>
      <c r="AF100" s="187"/>
      <c r="AG100" s="187"/>
      <c r="AH100" s="2"/>
      <c r="AI100" s="2"/>
      <c r="AJ100" s="2"/>
      <c r="AK100" s="2"/>
      <c r="AL100" s="2"/>
      <c r="AM100" s="2"/>
      <c r="AN100" s="2"/>
      <c r="AO100" s="180" t="s">
        <v>278</v>
      </c>
      <c r="AP100" s="308"/>
      <c r="AQ100" s="2"/>
      <c r="AR100" s="2"/>
      <c r="AS100" s="180" t="s">
        <v>278</v>
      </c>
      <c r="AT100" s="159"/>
      <c r="AU100" s="159"/>
      <c r="AV100" s="159"/>
      <c r="AW100" s="309"/>
      <c r="AX100" s="2"/>
      <c r="AY100" s="2"/>
    </row>
    <row r="101" spans="18:51" x14ac:dyDescent="0.2">
      <c r="R101" s="162" t="s">
        <v>102</v>
      </c>
      <c r="S101" s="273">
        <v>40.28</v>
      </c>
      <c r="T101" s="304">
        <v>75.430000000000007</v>
      </c>
      <c r="U101" s="304">
        <v>75.430000000000007</v>
      </c>
      <c r="V101" s="287">
        <f>SUM($E49:$H49,$M49,$N49,$P49,$Q49,$S101,$T101)</f>
        <v>3505.0899999999997</v>
      </c>
      <c r="W101" s="172">
        <f>$V101+$C49</f>
        <v>3818.4364566929125</v>
      </c>
      <c r="X101" s="172" t="e">
        <f>$Y$84 + IF($B$2="mil",1,0.0254)*DDR2Specs!$E$9</f>
        <v>#REF!</v>
      </c>
      <c r="Y101" s="172" t="e">
        <f>$X$84 + IF($B$2="mil",1,0.0254)*DDR2Specs!$F$9</f>
        <v>#REF!</v>
      </c>
      <c r="Z101" s="173" t="e">
        <f>IF($W101&lt;$X101,$X101-$W101,"Pass")</f>
        <v>#REF!</v>
      </c>
      <c r="AA101" s="174" t="e">
        <f>IF($W101&gt;$Y101,$W101-$Y101,"Pass")</f>
        <v>#REF!</v>
      </c>
      <c r="AB101" s="287">
        <f t="shared" si="56"/>
        <v>3505.0899999999997</v>
      </c>
      <c r="AC101" s="172">
        <f t="shared" si="57"/>
        <v>3818.4364566929125</v>
      </c>
      <c r="AD101" s="172" t="e">
        <f>$AE$84 + IF($B$2="mil",1,0.0254)*DDR2Specs!$E$9</f>
        <v>#REF!</v>
      </c>
      <c r="AE101" s="172" t="e">
        <f>$AD$84 + IF($B$2="mil",1,0.0254)*DDR2Specs!$F$9</f>
        <v>#REF!</v>
      </c>
      <c r="AF101" s="173" t="e">
        <f t="shared" si="58"/>
        <v>#REF!</v>
      </c>
      <c r="AG101" s="174" t="e">
        <f t="shared" si="59"/>
        <v>#REF!</v>
      </c>
      <c r="AH101" s="2"/>
      <c r="AI101" s="2"/>
      <c r="AJ101" s="2"/>
      <c r="AK101" s="2"/>
      <c r="AL101" s="2"/>
      <c r="AM101" s="2"/>
      <c r="AN101" s="2"/>
      <c r="AO101" s="162" t="s">
        <v>102</v>
      </c>
      <c r="AP101" s="307" t="e">
        <f t="shared" si="60"/>
        <v>#REF!</v>
      </c>
      <c r="AQ101" s="2"/>
      <c r="AR101" s="2"/>
      <c r="AS101" s="161" t="s">
        <v>102</v>
      </c>
      <c r="AT101" s="176" t="e">
        <f ca="1">CheckLength2(900,S101,T101,0)</f>
        <v>#NAME?</v>
      </c>
      <c r="AU101" s="176" t="e">
        <f ca="1">CheckLength2(900,S101,U101,0)</f>
        <v>#NAME?</v>
      </c>
      <c r="AV101" s="176" t="e">
        <f>IF(AND(V101&gt;=IF($B$2="mil",1,0.0254)*500, $V101&lt;=IF($B$2="mil",1,0.0254)*7500),"Pass",IF($B$2="mil",1,0.0254)*7500-$V101)</f>
        <v>#REF!</v>
      </c>
      <c r="AW101" s="307" t="e">
        <f>IF(AND($W101&gt;=IF($B$2="mil",1,0.0254)*500, $W101&lt;=IF($B$2="mil",1,0.0254)*8000),"Pass",IF($B$2="mil",1,0.0254)*8000-$W101)</f>
        <v>#REF!</v>
      </c>
      <c r="AX101" s="4" t="e">
        <f t="shared" ca="1" si="63"/>
        <v>#REF!</v>
      </c>
      <c r="AY101" s="2"/>
    </row>
    <row r="102" spans="18:51" x14ac:dyDescent="0.2">
      <c r="R102" s="216" t="s">
        <v>103</v>
      </c>
      <c r="S102" s="273">
        <v>313.86</v>
      </c>
      <c r="T102" s="305">
        <v>58.08</v>
      </c>
      <c r="U102" s="305">
        <v>58.08</v>
      </c>
      <c r="V102" s="287">
        <f>SUM($E50:$H50,$M50,$N50,$P50,$Q50,$S102,$T102)</f>
        <v>3542.1099999999997</v>
      </c>
      <c r="W102" s="172">
        <f>$V102+$C50</f>
        <v>3899.5903149606297</v>
      </c>
      <c r="X102" s="172" t="e">
        <f>$Y$84 + IF($B$2="mil",1,0.0254)*DDR2Specs!$E$9</f>
        <v>#REF!</v>
      </c>
      <c r="Y102" s="172" t="e">
        <f>$X$84 + IF($B$2="mil",1,0.0254)*DDR2Specs!$F$9</f>
        <v>#REF!</v>
      </c>
      <c r="Z102" s="173" t="e">
        <f>IF($W102&lt;$X102,$X102-$W102,"Pass")</f>
        <v>#REF!</v>
      </c>
      <c r="AA102" s="174" t="e">
        <f>IF($W102&gt;$Y102,$W102-$Y102,"Pass")</f>
        <v>#REF!</v>
      </c>
      <c r="AB102" s="287">
        <f t="shared" si="56"/>
        <v>3542.1099999999997</v>
      </c>
      <c r="AC102" s="172">
        <f t="shared" si="57"/>
        <v>3899.5903149606297</v>
      </c>
      <c r="AD102" s="172" t="e">
        <f>$AE$84 + IF($B$2="mil",1,0.0254)*DDR2Specs!$E$9</f>
        <v>#REF!</v>
      </c>
      <c r="AE102" s="172" t="e">
        <f>$AD$84 + IF($B$2="mil",1,0.0254)*DDR2Specs!$F$9</f>
        <v>#REF!</v>
      </c>
      <c r="AF102" s="173" t="e">
        <f t="shared" si="58"/>
        <v>#REF!</v>
      </c>
      <c r="AG102" s="174" t="e">
        <f t="shared" si="59"/>
        <v>#REF!</v>
      </c>
      <c r="AH102" s="2"/>
      <c r="AI102" s="2"/>
      <c r="AJ102" s="2"/>
      <c r="AK102" s="2"/>
      <c r="AL102" s="2"/>
      <c r="AM102" s="2"/>
      <c r="AN102" s="2"/>
      <c r="AO102" s="216" t="s">
        <v>103</v>
      </c>
      <c r="AP102" s="307" t="e">
        <f t="shared" si="60"/>
        <v>#REF!</v>
      </c>
      <c r="AQ102" s="2"/>
      <c r="AR102" s="2"/>
      <c r="AS102" s="215" t="s">
        <v>103</v>
      </c>
      <c r="AT102" s="176" t="e">
        <f ca="1">CheckLength2(900,S102,T102,0)</f>
        <v>#NAME?</v>
      </c>
      <c r="AU102" s="176" t="e">
        <f ca="1">CheckLength2(900,S102,U102,0)</f>
        <v>#NAME?</v>
      </c>
      <c r="AV102" s="176" t="e">
        <f>IF(AND(V102&gt;=IF($B$2="mil",1,0.0254)*500, $V102&lt;=IF($B$2="mil",1,0.0254)*7500),"Pass",IF($B$2="mil",1,0.0254)*7500-$V102)</f>
        <v>#REF!</v>
      </c>
      <c r="AW102" s="307" t="e">
        <f>IF(AND($W102&gt;=IF($B$2="mil",1,0.0254)*500, $W102&lt;=IF($B$2="mil",1,0.0254)*8000),"Pass",IF($B$2="mil",1,0.0254)*8000-$W102)</f>
        <v>#REF!</v>
      </c>
      <c r="AX102" s="4" t="e">
        <f t="shared" ca="1" si="63"/>
        <v>#REF!</v>
      </c>
      <c r="AY102" s="2"/>
    </row>
    <row r="103" spans="18:51" x14ac:dyDescent="0.2">
      <c r="R103" s="216" t="s">
        <v>104</v>
      </c>
      <c r="S103" s="273">
        <v>477.88</v>
      </c>
      <c r="T103" s="303">
        <v>78.75</v>
      </c>
      <c r="U103" s="303">
        <v>78.75</v>
      </c>
      <c r="V103" s="287">
        <f>SUM($E51:$H51,$M51,$N51,$P51,$Q51,$S103,$T103)</f>
        <v>3407.58</v>
      </c>
      <c r="W103" s="172">
        <f>$V103+$C51</f>
        <v>4375.8083464566926</v>
      </c>
      <c r="X103" s="172" t="e">
        <f>$Y$84 + IF($B$2="mil",1,0.0254)*DDR2Specs!$E$9</f>
        <v>#REF!</v>
      </c>
      <c r="Y103" s="172" t="e">
        <f>$X$84 + IF($B$2="mil",1,0.0254)*DDR2Specs!$F$9</f>
        <v>#REF!</v>
      </c>
      <c r="Z103" s="173" t="e">
        <f>IF($W103&lt;$X103,$X103-$W103,"Pass")</f>
        <v>#REF!</v>
      </c>
      <c r="AA103" s="174" t="e">
        <f>IF($W103&gt;$Y103,$W103-$Y103,"Pass")</f>
        <v>#REF!</v>
      </c>
      <c r="AB103" s="287">
        <f t="shared" si="56"/>
        <v>3407.58</v>
      </c>
      <c r="AC103" s="172">
        <f t="shared" si="57"/>
        <v>4375.8083464566926</v>
      </c>
      <c r="AD103" s="172" t="e">
        <f>$AE$84 + IF($B$2="mil",1,0.0254)*DDR2Specs!$E$9</f>
        <v>#REF!</v>
      </c>
      <c r="AE103" s="172" t="e">
        <f>$AD$84 + IF($B$2="mil",1,0.0254)*DDR2Specs!$F$9</f>
        <v>#REF!</v>
      </c>
      <c r="AF103" s="173" t="e">
        <f t="shared" si="58"/>
        <v>#REF!</v>
      </c>
      <c r="AG103" s="174" t="e">
        <f t="shared" si="59"/>
        <v>#REF!</v>
      </c>
      <c r="AH103" s="2"/>
      <c r="AI103" s="2"/>
      <c r="AJ103" s="2"/>
      <c r="AK103" s="2"/>
      <c r="AL103" s="2"/>
      <c r="AM103" s="2"/>
      <c r="AN103" s="2"/>
      <c r="AO103" s="216" t="s">
        <v>104</v>
      </c>
      <c r="AP103" s="307" t="e">
        <f t="shared" si="60"/>
        <v>#REF!</v>
      </c>
      <c r="AQ103" s="2"/>
      <c r="AR103" s="2"/>
      <c r="AS103" s="215" t="s">
        <v>104</v>
      </c>
      <c r="AT103" s="176" t="e">
        <f ca="1">CheckLength2(900,S103,T103,0)</f>
        <v>#NAME?</v>
      </c>
      <c r="AU103" s="176" t="e">
        <f ca="1">CheckLength2(900,S103,U103,0)</f>
        <v>#NAME?</v>
      </c>
      <c r="AV103" s="176" t="e">
        <f>IF(AND(V103&gt;=IF($B$2="mil",1,0.0254)*500, $V103&lt;=IF($B$2="mil",1,0.0254)*7500),"Pass",IF($B$2="mil",1,0.0254)*7500-$V103)</f>
        <v>#REF!</v>
      </c>
      <c r="AW103" s="307" t="e">
        <f>IF(AND($W103&gt;=IF($B$2="mil",1,0.0254)*500, $W103&lt;=IF($B$2="mil",1,0.0254)*8000),"Pass",IF($B$2="mil",1,0.0254)*8000-$W103)</f>
        <v>#REF!</v>
      </c>
      <c r="AX103" s="4" t="e">
        <f t="shared" ca="1" si="63"/>
        <v>#REF!</v>
      </c>
      <c r="AY103" s="2"/>
    </row>
    <row r="104" spans="18:51" x14ac:dyDescent="0.2">
      <c r="R104" s="180" t="s">
        <v>279</v>
      </c>
      <c r="S104" s="298"/>
      <c r="T104" s="182"/>
      <c r="U104" s="182"/>
      <c r="V104" s="184"/>
      <c r="W104" s="184"/>
      <c r="X104" s="184"/>
      <c r="Y104" s="184"/>
      <c r="Z104" s="187"/>
      <c r="AA104" s="187"/>
      <c r="AB104" s="184"/>
      <c r="AC104" s="184"/>
      <c r="AD104" s="184"/>
      <c r="AE104" s="184"/>
      <c r="AF104" s="187"/>
      <c r="AG104" s="187"/>
      <c r="AH104" s="2"/>
      <c r="AI104" s="2"/>
      <c r="AJ104" s="2"/>
      <c r="AK104" s="2"/>
      <c r="AL104" s="2"/>
      <c r="AM104" s="2"/>
      <c r="AN104" s="2"/>
      <c r="AO104" s="180" t="s">
        <v>279</v>
      </c>
      <c r="AP104" s="309"/>
      <c r="AQ104" s="2"/>
      <c r="AR104" s="2"/>
      <c r="AS104" s="180" t="s">
        <v>279</v>
      </c>
      <c r="AT104" s="187"/>
      <c r="AU104" s="187"/>
      <c r="AV104" s="187"/>
      <c r="AW104" s="309"/>
      <c r="AX104" s="2"/>
      <c r="AY104" s="2"/>
    </row>
    <row r="105" spans="18:51" x14ac:dyDescent="0.2">
      <c r="R105" s="162" t="s">
        <v>106</v>
      </c>
      <c r="S105" s="273">
        <v>327.79</v>
      </c>
      <c r="T105" s="303">
        <v>27.77</v>
      </c>
      <c r="U105" s="303">
        <v>27.77</v>
      </c>
      <c r="V105" s="287">
        <f>SUM($E53:$H53,$M53,$N53,$P53,$Q53,$S105,$T105)</f>
        <v>3342.3899999999994</v>
      </c>
      <c r="W105" s="172">
        <f>$V105+$C53</f>
        <v>3691.8899999999994</v>
      </c>
      <c r="X105" s="172" t="e">
        <f>$Y$84 + IF($B$2="mil",1,0.0254)*DDR2Specs!$E$9</f>
        <v>#REF!</v>
      </c>
      <c r="Y105" s="172" t="e">
        <f>$X$84 + IF($B$2="mil",1,0.0254)*DDR2Specs!$F$9</f>
        <v>#REF!</v>
      </c>
      <c r="Z105" s="173" t="e">
        <f>IF($W105&lt;$X105,$X105-$W105,"Pass")</f>
        <v>#REF!</v>
      </c>
      <c r="AA105" s="174" t="e">
        <f>IF($W105&gt;$Y105,$W105-$Y105,"Pass")</f>
        <v>#REF!</v>
      </c>
      <c r="AB105" s="287">
        <f t="shared" si="56"/>
        <v>3342.3899999999994</v>
      </c>
      <c r="AC105" s="172">
        <f t="shared" si="57"/>
        <v>3691.8899999999994</v>
      </c>
      <c r="AD105" s="172" t="e">
        <f>$AE$84 + IF($B$2="mil",1,0.0254)*DDR2Specs!$E$9</f>
        <v>#REF!</v>
      </c>
      <c r="AE105" s="172" t="e">
        <f>$AD$84 + IF($B$2="mil",1,0.0254)*DDR2Specs!$F$9</f>
        <v>#REF!</v>
      </c>
      <c r="AF105" s="173" t="e">
        <f t="shared" si="58"/>
        <v>#REF!</v>
      </c>
      <c r="AG105" s="174" t="e">
        <f t="shared" si="59"/>
        <v>#REF!</v>
      </c>
      <c r="AH105" s="2"/>
      <c r="AI105" s="2"/>
      <c r="AJ105" s="2"/>
      <c r="AK105" s="2"/>
      <c r="AL105" s="2"/>
      <c r="AM105" s="2"/>
      <c r="AN105" s="2"/>
      <c r="AO105" s="162" t="s">
        <v>106</v>
      </c>
      <c r="AP105" s="307" t="e">
        <f t="shared" si="60"/>
        <v>#REF!</v>
      </c>
      <c r="AQ105" s="2"/>
      <c r="AR105" s="2"/>
      <c r="AS105" s="161" t="s">
        <v>106</v>
      </c>
      <c r="AT105" s="176" t="e">
        <f ca="1">CheckLength2(900,S105,T105,0)</f>
        <v>#NAME?</v>
      </c>
      <c r="AU105" s="176" t="e">
        <f ca="1">CheckLength2(900,S105,U105,0)</f>
        <v>#NAME?</v>
      </c>
      <c r="AV105" s="176" t="e">
        <f>IF(AND(V105&gt;=IF($B$2="mil",1,0.0254)*500, $V105&lt;=IF($B$2="mil",1,0.0254)*7500),"Pass",IF($B$2="mil",1,0.0254)*7500-$V105)</f>
        <v>#REF!</v>
      </c>
      <c r="AW105" s="307" t="e">
        <f>IF(AND($W105&gt;=IF($B$2="mil",1,0.0254)*500, $W105&lt;=IF($B$2="mil",1,0.0254)*8000),"Pass",IF($B$2="mil",1,0.0254)*8000-$W105)</f>
        <v>#REF!</v>
      </c>
      <c r="AX105" s="4" t="e">
        <f t="shared" ca="1" si="63"/>
        <v>#REF!</v>
      </c>
      <c r="AY105" s="2"/>
    </row>
    <row r="106" spans="18:51" x14ac:dyDescent="0.2">
      <c r="R106" s="217" t="s">
        <v>107</v>
      </c>
      <c r="S106" s="273">
        <v>251.98</v>
      </c>
      <c r="T106" s="303">
        <v>56.02</v>
      </c>
      <c r="U106" s="303">
        <v>56.02</v>
      </c>
      <c r="V106" s="287">
        <f>SUM($E54:$H54,$M54,$N54,$P54,$Q54,$S106,$T106)</f>
        <v>3423.9899999999993</v>
      </c>
      <c r="W106" s="172">
        <f>$V106+$C54</f>
        <v>4134.5899999999992</v>
      </c>
      <c r="X106" s="172" t="e">
        <f>$Y$84 + IF($B$2="mil",1,0.0254)*DDR2Specs!$E$9</f>
        <v>#REF!</v>
      </c>
      <c r="Y106" s="172" t="e">
        <f>$X$84 + IF($B$2="mil",1,0.0254)*DDR2Specs!$F$9</f>
        <v>#REF!</v>
      </c>
      <c r="Z106" s="173" t="e">
        <f>IF($W106&lt;$X106,$X106-$W106,"Pass")</f>
        <v>#REF!</v>
      </c>
      <c r="AA106" s="174" t="e">
        <f>IF($W106&gt;$Y106,$W106-$Y106,"Pass")</f>
        <v>#REF!</v>
      </c>
      <c r="AB106" s="287">
        <f t="shared" si="56"/>
        <v>3423.9899999999993</v>
      </c>
      <c r="AC106" s="172">
        <f t="shared" si="57"/>
        <v>4134.5899999999992</v>
      </c>
      <c r="AD106" s="172" t="e">
        <f>$AE$84 + IF($B$2="mil",1,0.0254)*DDR2Specs!$E$9</f>
        <v>#REF!</v>
      </c>
      <c r="AE106" s="172" t="e">
        <f>$AD$84 + IF($B$2="mil",1,0.0254)*DDR2Specs!$F$9</f>
        <v>#REF!</v>
      </c>
      <c r="AF106" s="173" t="e">
        <f t="shared" si="58"/>
        <v>#REF!</v>
      </c>
      <c r="AG106" s="174" t="e">
        <f t="shared" si="59"/>
        <v>#REF!</v>
      </c>
      <c r="AH106" s="2"/>
      <c r="AI106" s="2"/>
      <c r="AJ106" s="2"/>
      <c r="AK106" s="2"/>
      <c r="AL106" s="2"/>
      <c r="AM106" s="2"/>
      <c r="AN106" s="2"/>
      <c r="AO106" s="217" t="s">
        <v>107</v>
      </c>
      <c r="AP106" s="307" t="e">
        <f t="shared" si="60"/>
        <v>#REF!</v>
      </c>
      <c r="AQ106" s="2"/>
      <c r="AR106" s="2"/>
      <c r="AS106" s="214" t="s">
        <v>107</v>
      </c>
      <c r="AT106" s="176" t="e">
        <f ca="1">CheckLength2(900,S106,T106,0)</f>
        <v>#NAME?</v>
      </c>
      <c r="AU106" s="176" t="e">
        <f ca="1">CheckLength2(900,S106,U106,0)</f>
        <v>#NAME?</v>
      </c>
      <c r="AV106" s="176" t="e">
        <f>IF(AND(V106&gt;=IF($B$2="mil",1,0.0254)*500, $V106&lt;=IF($B$2="mil",1,0.0254)*7500),"Pass",IF($B$2="mil",1,0.0254)*7500-$V106)</f>
        <v>#REF!</v>
      </c>
      <c r="AW106" s="307" t="e">
        <f>IF(AND($W106&gt;=IF($B$2="mil",1,0.0254)*500, $W106&lt;=IF($B$2="mil",1,0.0254)*8000),"Pass",IF($B$2="mil",1,0.0254)*8000-$W106)</f>
        <v>#REF!</v>
      </c>
      <c r="AX106" s="4" t="e">
        <f t="shared" ca="1" si="63"/>
        <v>#REF!</v>
      </c>
      <c r="AY106" s="2"/>
    </row>
    <row r="107" spans="18:51" x14ac:dyDescent="0.2">
      <c r="R107" s="217" t="s">
        <v>108</v>
      </c>
      <c r="S107" s="273">
        <v>321.8</v>
      </c>
      <c r="T107" s="303">
        <v>28.25</v>
      </c>
      <c r="U107" s="303">
        <v>28.25</v>
      </c>
      <c r="V107" s="287">
        <f>SUM($E55:$H55,$M55,$N55,$P55,$Q55,$S107,$T107)</f>
        <v>3402.9</v>
      </c>
      <c r="W107" s="172">
        <f>$V107+$C55</f>
        <v>3764.6</v>
      </c>
      <c r="X107" s="172" t="e">
        <f>$Y$84 + IF($B$2="mil",1,0.0254)*DDR2Specs!$E$9</f>
        <v>#REF!</v>
      </c>
      <c r="Y107" s="172" t="e">
        <f>$X$84 + IF($B$2="mil",1,0.0254)*DDR2Specs!$F$9</f>
        <v>#REF!</v>
      </c>
      <c r="Z107" s="173" t="e">
        <f>IF($W107&lt;$X107,$X107-$W107,"Pass")</f>
        <v>#REF!</v>
      </c>
      <c r="AA107" s="174" t="e">
        <f>IF($W107&gt;$Y107,$W107-$Y107,"Pass")</f>
        <v>#REF!</v>
      </c>
      <c r="AB107" s="287">
        <f t="shared" si="56"/>
        <v>3402.9</v>
      </c>
      <c r="AC107" s="172">
        <f t="shared" si="57"/>
        <v>3764.6</v>
      </c>
      <c r="AD107" s="172" t="e">
        <f>$AE$84 + IF($B$2="mil",1,0.0254)*DDR2Specs!$E$9</f>
        <v>#REF!</v>
      </c>
      <c r="AE107" s="172" t="e">
        <f>$AD$84 + IF($B$2="mil",1,0.0254)*DDR2Specs!$F$9</f>
        <v>#REF!</v>
      </c>
      <c r="AF107" s="173" t="e">
        <f t="shared" si="58"/>
        <v>#REF!</v>
      </c>
      <c r="AG107" s="174" t="e">
        <f t="shared" si="59"/>
        <v>#REF!</v>
      </c>
      <c r="AH107" s="2"/>
      <c r="AI107" s="2"/>
      <c r="AJ107" s="2"/>
      <c r="AK107" s="2"/>
      <c r="AL107" s="2"/>
      <c r="AM107" s="2"/>
      <c r="AN107" s="2"/>
      <c r="AO107" s="217" t="s">
        <v>108</v>
      </c>
      <c r="AP107" s="307" t="e">
        <f t="shared" si="60"/>
        <v>#REF!</v>
      </c>
      <c r="AQ107" s="2"/>
      <c r="AR107" s="2"/>
      <c r="AS107" s="214" t="s">
        <v>108</v>
      </c>
      <c r="AT107" s="176" t="e">
        <f ca="1">CheckLength2(900,S107,T107,0)</f>
        <v>#NAME?</v>
      </c>
      <c r="AU107" s="176" t="e">
        <f ca="1">CheckLength2(900,S107,U107,0)</f>
        <v>#NAME?</v>
      </c>
      <c r="AV107" s="176" t="e">
        <f>IF(AND(V107&gt;=IF($B$2="mil",1,0.0254)*500, $V107&lt;=IF($B$2="mil",1,0.0254)*7500),"Pass",IF($B$2="mil",1,0.0254)*7500-$V107)</f>
        <v>#REF!</v>
      </c>
      <c r="AW107" s="307" t="e">
        <f>IF(AND($W107&gt;=IF($B$2="mil",1,0.0254)*500, $W107&lt;=IF($B$2="mil",1,0.0254)*8000),"Pass",IF($B$2="mil",1,0.0254)*8000-$W107)</f>
        <v>#REF!</v>
      </c>
      <c r="AX107" s="4" t="e">
        <f t="shared" ca="1" si="63"/>
        <v>#REF!</v>
      </c>
      <c r="AY107" s="2"/>
    </row>
    <row r="108" spans="18:51" x14ac:dyDescent="0.2">
      <c r="R108" s="289" t="s">
        <v>79</v>
      </c>
      <c r="S108" s="123" t="e">
        <f>"Trace L9-2 ["&amp;$B$2&amp;"]"</f>
        <v>#REF!</v>
      </c>
      <c r="T108" s="123" t="e">
        <f>"Trace L10-7 to U4 ["&amp;$B$2&amp;"]"</f>
        <v>#REF!</v>
      </c>
      <c r="U108" s="123" t="e">
        <f>"Trace L10-8 to U8 ["&amp;$B$2&amp;"]"</f>
        <v>#REF!</v>
      </c>
      <c r="V108" s="123" t="e">
        <f>"Total MB Length to U4 (L0+L1+L2+S1+L5+Rs+L6+L7+L8-2+L9-2+L10-7) ["&amp;$B$2&amp;"]"</f>
        <v>#REF!</v>
      </c>
      <c r="W108" s="123" t="e">
        <f>"Total Pad to Pin U4 (P1+LL0+L1+L2+S1+L5+Rs+L6+L7+L8-2+L9-2+L10-7) ["&amp;$B$2&amp;"]"</f>
        <v>#REF!</v>
      </c>
      <c r="X108" s="130" t="e">
        <f>"Target Min Length  to U4
["&amp;$B$2&amp;"]"</f>
        <v>#REF!</v>
      </c>
      <c r="Y108" s="129" t="e">
        <f>"Target Max Length  to U4 
["&amp;$B$2&amp;"]"</f>
        <v>#REF!</v>
      </c>
      <c r="Z108" s="131" t="e">
        <f>"Routed Too Short to U4 [" &amp;$B$2&amp;"]"</f>
        <v>#REF!</v>
      </c>
      <c r="AA108" s="130" t="e">
        <f>"Routed Too Long to U4 [" &amp;$B$2&amp;"]"</f>
        <v>#REF!</v>
      </c>
      <c r="AB108" s="123" t="e">
        <f>"Total MB Length to U8 (L0+L1+L2+S1+L5+Rs+L6+L7+L8-2+L9-2+L10-8) ["&amp;$B$2&amp;"]"</f>
        <v>#REF!</v>
      </c>
      <c r="AC108" s="123" t="e">
        <f>"Total Pad to Pin U8 (P1+LL0+L1+L2+S1+L5+Rs+L6+L7+L8-2+L9-2+L10-8) ["&amp;$B$2&amp;"]"</f>
        <v>#REF!</v>
      </c>
      <c r="AD108" s="130" t="e">
        <f>"Target Min Length  to U8
["&amp;$B$2&amp;"]"</f>
        <v>#REF!</v>
      </c>
      <c r="AE108" s="129" t="e">
        <f>"Target Max Length  to U8 
["&amp;$B$2&amp;"]"</f>
        <v>#REF!</v>
      </c>
      <c r="AF108" s="131" t="e">
        <f>"Routed Too Short to U8 [" &amp;$B$2&amp;"]"</f>
        <v>#REF!</v>
      </c>
      <c r="AG108" s="130" t="e">
        <f>"Routed Too Long to U8 [" &amp;$B$2&amp;"]"</f>
        <v>#REF!</v>
      </c>
      <c r="AH108" s="2"/>
      <c r="AI108" s="2"/>
      <c r="AJ108" s="2"/>
      <c r="AK108" s="2"/>
      <c r="AL108" s="2"/>
      <c r="AM108" s="2"/>
      <c r="AN108" s="2"/>
      <c r="AO108" s="2"/>
      <c r="AP108" s="2"/>
      <c r="AQ108" s="193" t="s">
        <v>79</v>
      </c>
      <c r="AR108" s="129" t="e">
        <f>"L9-2 Length Test (&lt;=" &amp; IF($B$2="mil",1,0.0254)*1250&amp;$B$2&amp;")"</f>
        <v>#REF!</v>
      </c>
      <c r="AS108" s="2"/>
      <c r="AT108" s="132" t="e">
        <f>"L10-7 Length Test (&lt;=" &amp; IF($B$2="mil",1,0.0254)*150&amp;$B$2&amp;") or (L9-2+L10-7&lt;= "&amp;IF($B$2="mil",1,0.0254)*1400&amp;$B$2&amp;")"</f>
        <v>#REF!</v>
      </c>
      <c r="AU108" s="132" t="e">
        <f>"L10-8 Length Test (&lt;=" &amp; IF($B$2="mil",1,0.0254)*150&amp;$B$2&amp;") or (L9-2+L10-8&lt;= "&amp;IF($B$2="mil",1,0.0254)*1400&amp;$B$2&amp;")"</f>
        <v>#REF!</v>
      </c>
      <c r="AV108" s="129" t="e">
        <f>"Total Length to U4 (L0+L1+L2+S1+L5+Rs+L6+L7+L8-2+L9-2+L10-4) Test
 ("&amp;IF($B$2="mil",1,0.0254)*500&amp;"-"&amp;IF($B$2="mil",1,0.0254)*7500&amp;IF($B$2="mil","mil","mm")&amp;")"</f>
        <v>#REF!</v>
      </c>
      <c r="AW108" s="129" t="e">
        <f>"Total Length to U4 (P1+L0+L1+L2+S1+L5+Rs+L6+L7+L8-2+L9-2+L10-4) Test
 (&lt;="&amp;IF($B$2="mil",1,25.4)*8000&amp;IF($B$2="mil","mil","mm")&amp;")"</f>
        <v>#REF!</v>
      </c>
      <c r="AX108" s="2"/>
      <c r="AY108" s="2"/>
    </row>
    <row r="109" spans="18:51" x14ac:dyDescent="0.2">
      <c r="R109" s="134" t="s">
        <v>258</v>
      </c>
      <c r="S109" s="135"/>
      <c r="T109" s="135"/>
      <c r="U109" s="135"/>
      <c r="V109" s="195"/>
      <c r="W109" s="195"/>
      <c r="X109" s="195"/>
      <c r="Y109" s="195"/>
      <c r="Z109" s="195"/>
      <c r="AA109" s="195"/>
      <c r="AB109" s="195"/>
      <c r="AC109" s="195"/>
      <c r="AD109" s="195"/>
      <c r="AE109" s="195"/>
      <c r="AF109" s="195"/>
      <c r="AG109" s="195"/>
      <c r="AH109" s="2"/>
      <c r="AI109" s="2"/>
      <c r="AJ109" s="2"/>
      <c r="AK109" s="2"/>
      <c r="AL109" s="2"/>
      <c r="AM109" s="2"/>
      <c r="AN109" s="2"/>
      <c r="AO109" s="2"/>
      <c r="AP109" s="2"/>
      <c r="AQ109" s="134" t="s">
        <v>258</v>
      </c>
      <c r="AR109" s="310"/>
      <c r="AS109" s="2"/>
      <c r="AT109" s="195"/>
      <c r="AU109" s="195"/>
      <c r="AV109" s="195"/>
      <c r="AW109" s="310"/>
      <c r="AX109" s="2"/>
      <c r="AY109" s="2"/>
    </row>
    <row r="110" spans="18:51" x14ac:dyDescent="0.2">
      <c r="R110" s="235" t="s">
        <v>262</v>
      </c>
      <c r="S110" s="143"/>
      <c r="T110" s="143"/>
      <c r="U110" s="143"/>
      <c r="V110" s="146"/>
      <c r="W110" s="340" t="s">
        <v>273</v>
      </c>
      <c r="X110" s="151" t="e">
        <f>MIN('DDR2 Clocks - 4L'!$O$17:$O$18)</f>
        <v>#REF!</v>
      </c>
      <c r="Y110" s="209" t="e">
        <f>MAX('DDR2 Clocks - 4L'!$O$17:$O$18)</f>
        <v>#REF!</v>
      </c>
      <c r="Z110" s="151"/>
      <c r="AA110" s="149"/>
      <c r="AB110" s="146"/>
      <c r="AC110" s="340" t="s">
        <v>335</v>
      </c>
      <c r="AD110" s="151" t="e">
        <f>MIN('DDR2 Clocks - 4L'!$O$19:$O$20)</f>
        <v>#REF!</v>
      </c>
      <c r="AE110" s="209" t="e">
        <f>MAX('DDR2 Clocks - 4L'!$O$19:$O$20)</f>
        <v>#REF!</v>
      </c>
      <c r="AF110" s="151"/>
      <c r="AG110" s="149"/>
      <c r="AH110" s="2"/>
      <c r="AI110" s="2"/>
      <c r="AJ110" s="2"/>
      <c r="AK110" s="2"/>
      <c r="AL110" s="2"/>
      <c r="AM110" s="2"/>
      <c r="AN110" s="2"/>
      <c r="AO110" s="2"/>
      <c r="AP110" s="2"/>
      <c r="AQ110" s="319" t="s">
        <v>262</v>
      </c>
      <c r="AR110" s="154"/>
      <c r="AS110" s="2"/>
      <c r="AT110" s="153"/>
      <c r="AU110" s="153"/>
      <c r="AV110" s="153"/>
      <c r="AW110" s="154"/>
      <c r="AX110" s="2"/>
      <c r="AY110" s="2"/>
    </row>
    <row r="111" spans="18:51" x14ac:dyDescent="0.2">
      <c r="R111" s="180" t="s">
        <v>277</v>
      </c>
      <c r="S111" s="157"/>
      <c r="T111" s="157"/>
      <c r="U111" s="157"/>
      <c r="V111" s="158"/>
      <c r="W111" s="158"/>
      <c r="X111" s="159"/>
      <c r="Y111" s="160"/>
      <c r="Z111" s="160"/>
      <c r="AA111" s="159"/>
      <c r="AB111" s="158"/>
      <c r="AC111" s="158"/>
      <c r="AD111" s="159"/>
      <c r="AE111" s="160"/>
      <c r="AF111" s="160"/>
      <c r="AG111" s="159"/>
      <c r="AH111" s="2"/>
      <c r="AI111" s="2"/>
      <c r="AJ111" s="2"/>
      <c r="AK111" s="2"/>
      <c r="AL111" s="2"/>
      <c r="AM111" s="2"/>
      <c r="AN111" s="2"/>
      <c r="AO111" s="2"/>
      <c r="AP111" s="2"/>
      <c r="AQ111" s="180" t="s">
        <v>277</v>
      </c>
      <c r="AR111" s="308"/>
      <c r="AS111" s="2"/>
      <c r="AT111" s="159"/>
      <c r="AU111" s="159"/>
      <c r="AV111" s="159"/>
      <c r="AW111" s="308"/>
      <c r="AX111" s="2"/>
      <c r="AY111" s="2"/>
    </row>
    <row r="112" spans="18:51" x14ac:dyDescent="0.2">
      <c r="R112" s="162" t="s">
        <v>244</v>
      </c>
      <c r="S112" s="273">
        <v>565.69000000000005</v>
      </c>
      <c r="T112" s="273">
        <v>100.03</v>
      </c>
      <c r="U112" s="273">
        <v>100.03</v>
      </c>
      <c r="V112" s="287">
        <f t="shared" ref="V112:V125" si="64">SUM($E34:$H34,$M34,$N34,$P34,$Q34,$S112,$S86,$T112)</f>
        <v>4181.87</v>
      </c>
      <c r="W112" s="172">
        <f t="shared" ref="W112:W125" si="65">$V112+$C34</f>
        <v>4975.47</v>
      </c>
      <c r="X112" s="172" t="e">
        <f>$Y$110 + IF($B$2="mil",1,0.0254)*DDR2Specs!$E$9</f>
        <v>#REF!</v>
      </c>
      <c r="Y112" s="172" t="e">
        <f>$X$110 + IF($B$2="mil",1,0.0254)*DDR2Specs!$F$9</f>
        <v>#REF!</v>
      </c>
      <c r="Z112" s="173" t="e">
        <f t="shared" ref="Z112:Z125" si="66">IF($W112&lt;$X112,$X112-$W112,"Pass")</f>
        <v>#REF!</v>
      </c>
      <c r="AA112" s="174" t="e">
        <f t="shared" ref="AA112:AA125" si="67">IF($W112&gt;$Y112,$W112-$Y112,"Pass")</f>
        <v>#REF!</v>
      </c>
      <c r="AB112" s="287">
        <f>SUM($E34:$H34,$M34,$N34,$P34,$Q34,$S112,$S86,$U112)</f>
        <v>4181.87</v>
      </c>
      <c r="AC112" s="172">
        <f>$AB112+$C34</f>
        <v>4975.47</v>
      </c>
      <c r="AD112" s="172" t="e">
        <f>$AE$110 + IF($B$2="mil",1,0.0254)*DDR2Specs!$E$9</f>
        <v>#REF!</v>
      </c>
      <c r="AE112" s="172" t="e">
        <f>$AD$110 + IF($B$2="mil",1,0.0254)*DDR2Specs!$F$9</f>
        <v>#REF!</v>
      </c>
      <c r="AF112" s="173" t="e">
        <f>IF($AC112&lt;$AD112,$AD112-$AC112,"Pass")</f>
        <v>#REF!</v>
      </c>
      <c r="AG112" s="174" t="e">
        <f>IF($AC112&gt;$AE112,$AC112-$AE112,"Pass")</f>
        <v>#REF!</v>
      </c>
      <c r="AH112" s="2"/>
      <c r="AI112" s="2"/>
      <c r="AJ112" s="2"/>
      <c r="AK112" s="2"/>
      <c r="AL112" s="2"/>
      <c r="AM112" s="2"/>
      <c r="AN112" s="2"/>
      <c r="AO112" s="2"/>
      <c r="AP112" s="2"/>
      <c r="AQ112" s="162" t="s">
        <v>244</v>
      </c>
      <c r="AR112" s="307" t="e">
        <f>IF(S112&lt;=IF($B$2="mil",1,0.0254)*1250,"Pass",IF($B$2="mil",1,0.0254)*1250-S112)</f>
        <v>#REF!</v>
      </c>
      <c r="AS112" s="2"/>
      <c r="AT112" s="176" t="e">
        <f ca="1">CheckLength2(1400,S112,T112,0)</f>
        <v>#NAME?</v>
      </c>
      <c r="AU112" s="176" t="e">
        <f ca="1">CheckLength2(1400,S112,U112,0)</f>
        <v>#NAME?</v>
      </c>
      <c r="AV112" s="176" t="e">
        <f t="shared" ref="AV112:AV125" si="68">IF(AND(V112&gt;=IF($B$2="mil",1,0.0254)*500, $V112&lt;=IF($B$2="mil",1,0.0254)*7500),"Pass",IF($B$2="mil",1,0.0254)*7500-$V112)</f>
        <v>#REF!</v>
      </c>
      <c r="AW112" s="307" t="e">
        <f t="shared" ref="AW112:AW125" si="69">IF(AND($W112&gt;=IF($B$2="mil",1,0.0254)*500, $W112&lt;=IF($B$2="mil",1,0.0254)*8000),"Pass",IF($B$2="mil",1,0.0254)*8000-$W112)</f>
        <v>#REF!</v>
      </c>
      <c r="AX112" s="4" t="e">
        <f ca="1">IF(AND(Z112="Pass",AA112="Pass",AT112="Pass",AV112="Pass",AW112="Pass"),"Pass","Fail")</f>
        <v>#REF!</v>
      </c>
      <c r="AY112" s="4" t="e">
        <f ca="1">IF(AND(AX112="Pass",AX113="Pass",AX114="Pass",AX115="Pass",AX116="Pass",AX117="Pass",AX118="Pass",AX119="Pass",AX120="Pass",AX121="Pass",AX122="Pass"),"Pass","Fail")</f>
        <v>#REF!</v>
      </c>
    </row>
    <row r="113" spans="18:51" x14ac:dyDescent="0.2">
      <c r="R113" s="217" t="s">
        <v>87</v>
      </c>
      <c r="S113" s="273">
        <v>587.88</v>
      </c>
      <c r="T113" s="273">
        <v>85.04</v>
      </c>
      <c r="U113" s="273">
        <v>85.04</v>
      </c>
      <c r="V113" s="287">
        <f t="shared" si="64"/>
        <v>4009.53</v>
      </c>
      <c r="W113" s="172">
        <f t="shared" si="65"/>
        <v>4679.83</v>
      </c>
      <c r="X113" s="172" t="e">
        <f>$Y$110 + IF($B$2="mil",1,0.0254)*DDR2Specs!$E$9</f>
        <v>#REF!</v>
      </c>
      <c r="Y113" s="172" t="e">
        <f>$X$110 + IF($B$2="mil",1,0.0254)*DDR2Specs!$F$9</f>
        <v>#REF!</v>
      </c>
      <c r="Z113" s="173" t="e">
        <f t="shared" si="66"/>
        <v>#REF!</v>
      </c>
      <c r="AA113" s="174" t="e">
        <f t="shared" si="67"/>
        <v>#REF!</v>
      </c>
      <c r="AB113" s="287">
        <f t="shared" ref="AB113:AB133" si="70">SUM($E35:$H35,$M35,$N35,$P35,$Q35,$S113,$S87,$U113)</f>
        <v>4009.53</v>
      </c>
      <c r="AC113" s="172">
        <f t="shared" ref="AC113:AC133" si="71">$AB113+$C35</f>
        <v>4679.83</v>
      </c>
      <c r="AD113" s="172" t="e">
        <f>$AE$110 + IF($B$2="mil",1,0.0254)*DDR2Specs!$E$9</f>
        <v>#REF!</v>
      </c>
      <c r="AE113" s="172" t="e">
        <f>$AD$110 + IF($B$2="mil",1,0.0254)*DDR2Specs!$F$9</f>
        <v>#REF!</v>
      </c>
      <c r="AF113" s="173" t="e">
        <f t="shared" ref="AF113:AF133" si="72">IF($AC113&lt;$AD113,$AD113-$AC113,"Pass")</f>
        <v>#REF!</v>
      </c>
      <c r="AG113" s="174" t="e">
        <f t="shared" ref="AG113:AG133" si="73">IF($AC113&gt;$AE113,$AC113-$AE113,"Pass")</f>
        <v>#REF!</v>
      </c>
      <c r="AH113" s="2"/>
      <c r="AI113" s="2"/>
      <c r="AJ113" s="2"/>
      <c r="AK113" s="2"/>
      <c r="AL113" s="2"/>
      <c r="AM113" s="2"/>
      <c r="AN113" s="2"/>
      <c r="AO113" s="2"/>
      <c r="AP113" s="2"/>
      <c r="AQ113" s="217" t="s">
        <v>87</v>
      </c>
      <c r="AR113" s="307" t="e">
        <f t="shared" ref="AR113:AR133" si="74">IF(S113&lt;=IF($B$2="mil",1,0.0254)*1250,"Pass",IF($B$2="mil",1,0.0254)*1250-S113)</f>
        <v>#REF!</v>
      </c>
      <c r="AS113" s="2"/>
      <c r="AT113" s="176" t="e">
        <f t="shared" ref="AT113:AT125" ca="1" si="75">CheckLength2(1400,S113,T113,0)</f>
        <v>#NAME?</v>
      </c>
      <c r="AU113" s="176" t="e">
        <f t="shared" ref="AU113:AU125" ca="1" si="76">CheckLength2(1400,S113,U113,0)</f>
        <v>#NAME?</v>
      </c>
      <c r="AV113" s="176" t="e">
        <f t="shared" si="68"/>
        <v>#REF!</v>
      </c>
      <c r="AW113" s="307" t="e">
        <f t="shared" si="69"/>
        <v>#REF!</v>
      </c>
      <c r="AX113" s="4" t="e">
        <f t="shared" ref="AX113:AX133" ca="1" si="77">IF(AND(Z113="Pass",AA113="Pass",AT113="Pass",AV113="Pass",AW113="Pass"),"Pass","Fail")</f>
        <v>#REF!</v>
      </c>
      <c r="AY113" s="4" t="e">
        <f ca="1">IF(AND(AX123="Pass",AX124="Pass",AX125="Pass",AX127="Pass",AX128="Pass",AX129="Pass",AX131="Pass",AX132="Pass",AX133="Pass"),"Pass","Fail")</f>
        <v>#REF!</v>
      </c>
    </row>
    <row r="114" spans="18:51" x14ac:dyDescent="0.2">
      <c r="R114" s="217" t="s">
        <v>88</v>
      </c>
      <c r="S114" s="273">
        <v>565.69000000000005</v>
      </c>
      <c r="T114" s="273">
        <v>99.56</v>
      </c>
      <c r="U114" s="273">
        <v>99.56</v>
      </c>
      <c r="V114" s="287">
        <f t="shared" si="64"/>
        <v>3922.69</v>
      </c>
      <c r="W114" s="172">
        <f t="shared" si="65"/>
        <v>4509.29</v>
      </c>
      <c r="X114" s="172" t="e">
        <f>$Y$110 + IF($B$2="mil",1,0.0254)*DDR2Specs!$E$9</f>
        <v>#REF!</v>
      </c>
      <c r="Y114" s="172" t="e">
        <f>$X$110 + IF($B$2="mil",1,0.0254)*DDR2Specs!$F$9</f>
        <v>#REF!</v>
      </c>
      <c r="Z114" s="173" t="e">
        <f t="shared" si="66"/>
        <v>#REF!</v>
      </c>
      <c r="AA114" s="174" t="e">
        <f t="shared" si="67"/>
        <v>#REF!</v>
      </c>
      <c r="AB114" s="287">
        <f t="shared" si="70"/>
        <v>3922.69</v>
      </c>
      <c r="AC114" s="172">
        <f t="shared" si="71"/>
        <v>4509.29</v>
      </c>
      <c r="AD114" s="172" t="e">
        <f>$AE$110 + IF($B$2="mil",1,0.0254)*DDR2Specs!$E$9</f>
        <v>#REF!</v>
      </c>
      <c r="AE114" s="172" t="e">
        <f>$AD$110 + IF($B$2="mil",1,0.0254)*DDR2Specs!$F$9</f>
        <v>#REF!</v>
      </c>
      <c r="AF114" s="173" t="e">
        <f t="shared" si="72"/>
        <v>#REF!</v>
      </c>
      <c r="AG114" s="174" t="e">
        <f t="shared" si="73"/>
        <v>#REF!</v>
      </c>
      <c r="AH114" s="2"/>
      <c r="AI114" s="2"/>
      <c r="AJ114" s="2"/>
      <c r="AK114" s="2"/>
      <c r="AL114" s="2"/>
      <c r="AM114" s="2"/>
      <c r="AN114" s="2"/>
      <c r="AO114" s="2"/>
      <c r="AP114" s="2"/>
      <c r="AQ114" s="217" t="s">
        <v>88</v>
      </c>
      <c r="AR114" s="307" t="e">
        <f t="shared" si="74"/>
        <v>#REF!</v>
      </c>
      <c r="AS114" s="2"/>
      <c r="AT114" s="176" t="e">
        <f t="shared" ca="1" si="75"/>
        <v>#NAME?</v>
      </c>
      <c r="AU114" s="176" t="e">
        <f t="shared" ca="1" si="76"/>
        <v>#NAME?</v>
      </c>
      <c r="AV114" s="176" t="e">
        <f t="shared" si="68"/>
        <v>#REF!</v>
      </c>
      <c r="AW114" s="307" t="e">
        <f t="shared" si="69"/>
        <v>#REF!</v>
      </c>
      <c r="AX114" s="4" t="e">
        <f t="shared" ca="1" si="77"/>
        <v>#REF!</v>
      </c>
      <c r="AY114" s="2"/>
    </row>
    <row r="115" spans="18:51" x14ac:dyDescent="0.2">
      <c r="R115" s="217" t="s">
        <v>89</v>
      </c>
      <c r="S115" s="273">
        <v>579.26</v>
      </c>
      <c r="T115" s="273">
        <v>145.9</v>
      </c>
      <c r="U115" s="273">
        <v>145.9</v>
      </c>
      <c r="V115" s="287">
        <f t="shared" si="64"/>
        <v>4033.8800000000006</v>
      </c>
      <c r="W115" s="172">
        <f t="shared" si="65"/>
        <v>5018.5800000000008</v>
      </c>
      <c r="X115" s="172" t="e">
        <f>$Y$110 + IF($B$2="mil",1,0.0254)*DDR2Specs!$E$9</f>
        <v>#REF!</v>
      </c>
      <c r="Y115" s="172" t="e">
        <f>$X$110 + IF($B$2="mil",1,0.0254)*DDR2Specs!$F$9</f>
        <v>#REF!</v>
      </c>
      <c r="Z115" s="173" t="e">
        <f t="shared" si="66"/>
        <v>#REF!</v>
      </c>
      <c r="AA115" s="174" t="e">
        <f t="shared" si="67"/>
        <v>#REF!</v>
      </c>
      <c r="AB115" s="287">
        <f t="shared" si="70"/>
        <v>4033.8800000000006</v>
      </c>
      <c r="AC115" s="172">
        <f t="shared" si="71"/>
        <v>5018.5800000000008</v>
      </c>
      <c r="AD115" s="172" t="e">
        <f>$AE$110 + IF($B$2="mil",1,0.0254)*DDR2Specs!$E$9</f>
        <v>#REF!</v>
      </c>
      <c r="AE115" s="172" t="e">
        <f>$AD$110 + IF($B$2="mil",1,0.0254)*DDR2Specs!$F$9</f>
        <v>#REF!</v>
      </c>
      <c r="AF115" s="173" t="e">
        <f t="shared" si="72"/>
        <v>#REF!</v>
      </c>
      <c r="AG115" s="174" t="e">
        <f t="shared" si="73"/>
        <v>#REF!</v>
      </c>
      <c r="AH115" s="2"/>
      <c r="AI115" s="2"/>
      <c r="AJ115" s="2"/>
      <c r="AK115" s="2"/>
      <c r="AL115" s="2"/>
      <c r="AM115" s="2"/>
      <c r="AN115" s="2"/>
      <c r="AO115" s="2"/>
      <c r="AP115" s="2"/>
      <c r="AQ115" s="217" t="s">
        <v>89</v>
      </c>
      <c r="AR115" s="307" t="e">
        <f t="shared" si="74"/>
        <v>#REF!</v>
      </c>
      <c r="AS115" s="2"/>
      <c r="AT115" s="176" t="e">
        <f t="shared" ca="1" si="75"/>
        <v>#NAME?</v>
      </c>
      <c r="AU115" s="176" t="e">
        <f t="shared" ca="1" si="76"/>
        <v>#NAME?</v>
      </c>
      <c r="AV115" s="176" t="e">
        <f t="shared" si="68"/>
        <v>#REF!</v>
      </c>
      <c r="AW115" s="307" t="e">
        <f t="shared" si="69"/>
        <v>#REF!</v>
      </c>
      <c r="AX115" s="4" t="e">
        <f t="shared" ca="1" si="77"/>
        <v>#REF!</v>
      </c>
      <c r="AY115" s="2"/>
    </row>
    <row r="116" spans="18:51" x14ac:dyDescent="0.2">
      <c r="R116" s="217" t="s">
        <v>90</v>
      </c>
      <c r="S116" s="273">
        <v>624.74</v>
      </c>
      <c r="T116" s="273">
        <v>103.51</v>
      </c>
      <c r="U116" s="273">
        <v>103.51</v>
      </c>
      <c r="V116" s="287">
        <f t="shared" si="64"/>
        <v>3907.5699999999997</v>
      </c>
      <c r="W116" s="172">
        <f t="shared" si="65"/>
        <v>4390.87</v>
      </c>
      <c r="X116" s="172" t="e">
        <f>$Y$110 + IF($B$2="mil",1,0.0254)*DDR2Specs!$E$9</f>
        <v>#REF!</v>
      </c>
      <c r="Y116" s="172" t="e">
        <f>$X$110 + IF($B$2="mil",1,0.0254)*DDR2Specs!$F$9</f>
        <v>#REF!</v>
      </c>
      <c r="Z116" s="173" t="e">
        <f t="shared" si="66"/>
        <v>#REF!</v>
      </c>
      <c r="AA116" s="174" t="e">
        <f t="shared" si="67"/>
        <v>#REF!</v>
      </c>
      <c r="AB116" s="287">
        <f t="shared" si="70"/>
        <v>3907.5699999999997</v>
      </c>
      <c r="AC116" s="172">
        <f t="shared" si="71"/>
        <v>4390.87</v>
      </c>
      <c r="AD116" s="172" t="e">
        <f>$AE$110 + IF($B$2="mil",1,0.0254)*DDR2Specs!$E$9</f>
        <v>#REF!</v>
      </c>
      <c r="AE116" s="172" t="e">
        <f>$AD$110 + IF($B$2="mil",1,0.0254)*DDR2Specs!$F$9</f>
        <v>#REF!</v>
      </c>
      <c r="AF116" s="173" t="e">
        <f t="shared" si="72"/>
        <v>#REF!</v>
      </c>
      <c r="AG116" s="174" t="e">
        <f t="shared" si="73"/>
        <v>#REF!</v>
      </c>
      <c r="AH116" s="2"/>
      <c r="AI116" s="2"/>
      <c r="AJ116" s="2"/>
      <c r="AK116" s="2"/>
      <c r="AL116" s="2"/>
      <c r="AM116" s="2"/>
      <c r="AN116" s="2"/>
      <c r="AO116" s="2"/>
      <c r="AP116" s="2"/>
      <c r="AQ116" s="217" t="s">
        <v>90</v>
      </c>
      <c r="AR116" s="307" t="e">
        <f t="shared" si="74"/>
        <v>#REF!</v>
      </c>
      <c r="AS116" s="2"/>
      <c r="AT116" s="176" t="e">
        <f t="shared" ca="1" si="75"/>
        <v>#NAME?</v>
      </c>
      <c r="AU116" s="176" t="e">
        <f t="shared" ca="1" si="76"/>
        <v>#NAME?</v>
      </c>
      <c r="AV116" s="176" t="e">
        <f t="shared" si="68"/>
        <v>#REF!</v>
      </c>
      <c r="AW116" s="307" t="e">
        <f t="shared" si="69"/>
        <v>#REF!</v>
      </c>
      <c r="AX116" s="4" t="e">
        <f t="shared" ca="1" si="77"/>
        <v>#REF!</v>
      </c>
      <c r="AY116" s="2"/>
    </row>
    <row r="117" spans="18:51" x14ac:dyDescent="0.2">
      <c r="R117" s="217" t="s">
        <v>91</v>
      </c>
      <c r="S117" s="273">
        <v>610.85</v>
      </c>
      <c r="T117" s="273">
        <v>75.709999999999994</v>
      </c>
      <c r="U117" s="273">
        <v>75.709999999999994</v>
      </c>
      <c r="V117" s="287">
        <f t="shared" si="64"/>
        <v>4049.2</v>
      </c>
      <c r="W117" s="172">
        <f t="shared" si="65"/>
        <v>4560.0999999999995</v>
      </c>
      <c r="X117" s="172" t="e">
        <f>$Y$110 + IF($B$2="mil",1,0.0254)*DDR2Specs!$E$9</f>
        <v>#REF!</v>
      </c>
      <c r="Y117" s="172" t="e">
        <f>$X$110 + IF($B$2="mil",1,0.0254)*DDR2Specs!$F$9</f>
        <v>#REF!</v>
      </c>
      <c r="Z117" s="173" t="e">
        <f t="shared" si="66"/>
        <v>#REF!</v>
      </c>
      <c r="AA117" s="174" t="e">
        <f t="shared" si="67"/>
        <v>#REF!</v>
      </c>
      <c r="AB117" s="287">
        <f t="shared" si="70"/>
        <v>4049.2</v>
      </c>
      <c r="AC117" s="172">
        <f t="shared" si="71"/>
        <v>4560.0999999999995</v>
      </c>
      <c r="AD117" s="172" t="e">
        <f>$AE$110 + IF($B$2="mil",1,0.0254)*DDR2Specs!$E$9</f>
        <v>#REF!</v>
      </c>
      <c r="AE117" s="172" t="e">
        <f>$AD$110 + IF($B$2="mil",1,0.0254)*DDR2Specs!$F$9</f>
        <v>#REF!</v>
      </c>
      <c r="AF117" s="173" t="e">
        <f t="shared" si="72"/>
        <v>#REF!</v>
      </c>
      <c r="AG117" s="174" t="e">
        <f t="shared" si="73"/>
        <v>#REF!</v>
      </c>
      <c r="AH117" s="2"/>
      <c r="AI117" s="2"/>
      <c r="AJ117" s="2"/>
      <c r="AK117" s="2"/>
      <c r="AL117" s="2"/>
      <c r="AM117" s="2"/>
      <c r="AN117" s="2"/>
      <c r="AO117" s="2"/>
      <c r="AP117" s="2"/>
      <c r="AQ117" s="217" t="s">
        <v>91</v>
      </c>
      <c r="AR117" s="307" t="e">
        <f t="shared" si="74"/>
        <v>#REF!</v>
      </c>
      <c r="AS117" s="2"/>
      <c r="AT117" s="176" t="e">
        <f t="shared" ca="1" si="75"/>
        <v>#NAME?</v>
      </c>
      <c r="AU117" s="176" t="e">
        <f t="shared" ca="1" si="76"/>
        <v>#NAME?</v>
      </c>
      <c r="AV117" s="176" t="e">
        <f t="shared" si="68"/>
        <v>#REF!</v>
      </c>
      <c r="AW117" s="307" t="e">
        <f t="shared" si="69"/>
        <v>#REF!</v>
      </c>
      <c r="AX117" s="4" t="e">
        <f t="shared" ca="1" si="77"/>
        <v>#REF!</v>
      </c>
      <c r="AY117" s="2"/>
    </row>
    <row r="118" spans="18:51" x14ac:dyDescent="0.2">
      <c r="R118" s="217" t="s">
        <v>92</v>
      </c>
      <c r="S118" s="273">
        <v>604.02</v>
      </c>
      <c r="T118" s="273">
        <v>101.05</v>
      </c>
      <c r="U118" s="273">
        <v>101.05</v>
      </c>
      <c r="V118" s="287">
        <f t="shared" si="64"/>
        <v>4089.18</v>
      </c>
      <c r="W118" s="172">
        <f t="shared" si="65"/>
        <v>4596.78</v>
      </c>
      <c r="X118" s="172" t="e">
        <f>$Y$110 + IF($B$2="mil",1,0.0254)*DDR2Specs!$E$9</f>
        <v>#REF!</v>
      </c>
      <c r="Y118" s="172" t="e">
        <f>$X$110 + IF($B$2="mil",1,0.0254)*DDR2Specs!$F$9</f>
        <v>#REF!</v>
      </c>
      <c r="Z118" s="173" t="e">
        <f t="shared" si="66"/>
        <v>#REF!</v>
      </c>
      <c r="AA118" s="174" t="e">
        <f t="shared" si="67"/>
        <v>#REF!</v>
      </c>
      <c r="AB118" s="287">
        <f t="shared" si="70"/>
        <v>4089.18</v>
      </c>
      <c r="AC118" s="172">
        <f t="shared" si="71"/>
        <v>4596.78</v>
      </c>
      <c r="AD118" s="172" t="e">
        <f>$AE$110 + IF($B$2="mil",1,0.0254)*DDR2Specs!$E$9</f>
        <v>#REF!</v>
      </c>
      <c r="AE118" s="172" t="e">
        <f>$AD$110 + IF($B$2="mil",1,0.0254)*DDR2Specs!$F$9</f>
        <v>#REF!</v>
      </c>
      <c r="AF118" s="173" t="e">
        <f t="shared" si="72"/>
        <v>#REF!</v>
      </c>
      <c r="AG118" s="174" t="e">
        <f t="shared" si="73"/>
        <v>#REF!</v>
      </c>
      <c r="AH118" s="2"/>
      <c r="AI118" s="2"/>
      <c r="AJ118" s="2"/>
      <c r="AK118" s="2"/>
      <c r="AL118" s="2"/>
      <c r="AM118" s="2"/>
      <c r="AN118" s="2"/>
      <c r="AO118" s="2"/>
      <c r="AP118" s="2"/>
      <c r="AQ118" s="217" t="s">
        <v>92</v>
      </c>
      <c r="AR118" s="307" t="e">
        <f t="shared" si="74"/>
        <v>#REF!</v>
      </c>
      <c r="AS118" s="2"/>
      <c r="AT118" s="176" t="e">
        <f t="shared" ca="1" si="75"/>
        <v>#NAME?</v>
      </c>
      <c r="AU118" s="176" t="e">
        <f t="shared" ca="1" si="76"/>
        <v>#NAME?</v>
      </c>
      <c r="AV118" s="176" t="e">
        <f t="shared" si="68"/>
        <v>#REF!</v>
      </c>
      <c r="AW118" s="307" t="e">
        <f t="shared" si="69"/>
        <v>#REF!</v>
      </c>
      <c r="AX118" s="4" t="e">
        <f t="shared" ca="1" si="77"/>
        <v>#REF!</v>
      </c>
      <c r="AY118" s="2"/>
    </row>
    <row r="119" spans="18:51" x14ac:dyDescent="0.2">
      <c r="R119" s="217" t="s">
        <v>94</v>
      </c>
      <c r="S119" s="273">
        <v>596.35</v>
      </c>
      <c r="T119" s="273">
        <v>144.30000000000001</v>
      </c>
      <c r="U119" s="273">
        <v>144.30000000000001</v>
      </c>
      <c r="V119" s="287">
        <f t="shared" si="64"/>
        <v>4007.0099999999998</v>
      </c>
      <c r="W119" s="172">
        <f t="shared" si="65"/>
        <v>4502.6099999999997</v>
      </c>
      <c r="X119" s="172" t="e">
        <f>$Y$110 + IF($B$2="mil",1,0.0254)*DDR2Specs!$E$9</f>
        <v>#REF!</v>
      </c>
      <c r="Y119" s="172" t="e">
        <f>$X$110 + IF($B$2="mil",1,0.0254)*DDR2Specs!$F$9</f>
        <v>#REF!</v>
      </c>
      <c r="Z119" s="173" t="e">
        <f t="shared" si="66"/>
        <v>#REF!</v>
      </c>
      <c r="AA119" s="174" t="e">
        <f t="shared" si="67"/>
        <v>#REF!</v>
      </c>
      <c r="AB119" s="287">
        <f t="shared" si="70"/>
        <v>4007.0099999999998</v>
      </c>
      <c r="AC119" s="172">
        <f t="shared" si="71"/>
        <v>4502.6099999999997</v>
      </c>
      <c r="AD119" s="172" t="e">
        <f>$AE$110 + IF($B$2="mil",1,0.0254)*DDR2Specs!$E$9</f>
        <v>#REF!</v>
      </c>
      <c r="AE119" s="172" t="e">
        <f>$AD$110 + IF($B$2="mil",1,0.0254)*DDR2Specs!$F$9</f>
        <v>#REF!</v>
      </c>
      <c r="AF119" s="173" t="e">
        <f t="shared" si="72"/>
        <v>#REF!</v>
      </c>
      <c r="AG119" s="174" t="e">
        <f t="shared" si="73"/>
        <v>#REF!</v>
      </c>
      <c r="AH119" s="2"/>
      <c r="AI119" s="2"/>
      <c r="AJ119" s="2"/>
      <c r="AK119" s="2"/>
      <c r="AL119" s="2"/>
      <c r="AM119" s="2"/>
      <c r="AN119" s="2"/>
      <c r="AO119" s="2"/>
      <c r="AP119" s="2"/>
      <c r="AQ119" s="217" t="s">
        <v>94</v>
      </c>
      <c r="AR119" s="307" t="e">
        <f t="shared" si="74"/>
        <v>#REF!</v>
      </c>
      <c r="AS119" s="2"/>
      <c r="AT119" s="176" t="e">
        <f t="shared" ca="1" si="75"/>
        <v>#NAME?</v>
      </c>
      <c r="AU119" s="176" t="e">
        <f t="shared" ca="1" si="76"/>
        <v>#NAME?</v>
      </c>
      <c r="AV119" s="176" t="e">
        <f t="shared" si="68"/>
        <v>#REF!</v>
      </c>
      <c r="AW119" s="307" t="e">
        <f t="shared" si="69"/>
        <v>#REF!</v>
      </c>
      <c r="AX119" s="4" t="e">
        <f t="shared" ca="1" si="77"/>
        <v>#REF!</v>
      </c>
      <c r="AY119" s="2"/>
    </row>
    <row r="120" spans="18:51" x14ac:dyDescent="0.2">
      <c r="R120" s="217" t="s">
        <v>95</v>
      </c>
      <c r="S120" s="273">
        <v>615.67999999999995</v>
      </c>
      <c r="T120" s="273">
        <v>75.209999999999994</v>
      </c>
      <c r="U120" s="273">
        <v>75.209999999999994</v>
      </c>
      <c r="V120" s="287">
        <f t="shared" si="64"/>
        <v>4017.61</v>
      </c>
      <c r="W120" s="172">
        <f t="shared" si="65"/>
        <v>4581.3100000000004</v>
      </c>
      <c r="X120" s="172" t="e">
        <f>$Y$110 + IF($B$2="mil",1,0.0254)*DDR2Specs!$E$9</f>
        <v>#REF!</v>
      </c>
      <c r="Y120" s="172" t="e">
        <f>$X$110 + IF($B$2="mil",1,0.0254)*DDR2Specs!$F$9</f>
        <v>#REF!</v>
      </c>
      <c r="Z120" s="173" t="e">
        <f t="shared" si="66"/>
        <v>#REF!</v>
      </c>
      <c r="AA120" s="174" t="e">
        <f t="shared" si="67"/>
        <v>#REF!</v>
      </c>
      <c r="AB120" s="287">
        <f t="shared" si="70"/>
        <v>4017.61</v>
      </c>
      <c r="AC120" s="172">
        <f t="shared" si="71"/>
        <v>4581.3100000000004</v>
      </c>
      <c r="AD120" s="172" t="e">
        <f>$AE$110 + IF($B$2="mil",1,0.0254)*DDR2Specs!$E$9</f>
        <v>#REF!</v>
      </c>
      <c r="AE120" s="172" t="e">
        <f>$AD$110 + IF($B$2="mil",1,0.0254)*DDR2Specs!$F$9</f>
        <v>#REF!</v>
      </c>
      <c r="AF120" s="173" t="e">
        <f t="shared" si="72"/>
        <v>#REF!</v>
      </c>
      <c r="AG120" s="174" t="e">
        <f t="shared" si="73"/>
        <v>#REF!</v>
      </c>
      <c r="AH120" s="2"/>
      <c r="AI120" s="2"/>
      <c r="AJ120" s="2"/>
      <c r="AK120" s="2"/>
      <c r="AL120" s="2"/>
      <c r="AM120" s="2"/>
      <c r="AN120" s="2"/>
      <c r="AO120" s="2"/>
      <c r="AP120" s="2"/>
      <c r="AQ120" s="217" t="s">
        <v>95</v>
      </c>
      <c r="AR120" s="307" t="e">
        <f t="shared" si="74"/>
        <v>#REF!</v>
      </c>
      <c r="AS120" s="2"/>
      <c r="AT120" s="176" t="e">
        <f t="shared" ca="1" si="75"/>
        <v>#NAME?</v>
      </c>
      <c r="AU120" s="176" t="e">
        <f t="shared" ca="1" si="76"/>
        <v>#NAME?</v>
      </c>
      <c r="AV120" s="176" t="e">
        <f t="shared" si="68"/>
        <v>#REF!</v>
      </c>
      <c r="AW120" s="307" t="e">
        <f t="shared" si="69"/>
        <v>#REF!</v>
      </c>
      <c r="AX120" s="4" t="e">
        <f t="shared" ca="1" si="77"/>
        <v>#REF!</v>
      </c>
      <c r="AY120" s="2"/>
    </row>
    <row r="121" spans="18:51" x14ac:dyDescent="0.2">
      <c r="R121" s="217" t="s">
        <v>96</v>
      </c>
      <c r="S121" s="273">
        <v>533.94000000000005</v>
      </c>
      <c r="T121" s="273">
        <v>117.25</v>
      </c>
      <c r="U121" s="273">
        <v>117.25</v>
      </c>
      <c r="V121" s="287">
        <f t="shared" si="64"/>
        <v>4225.9599999999991</v>
      </c>
      <c r="W121" s="172">
        <f t="shared" si="65"/>
        <v>5055.2599999999993</v>
      </c>
      <c r="X121" s="172" t="e">
        <f>$Y$110 + IF($B$2="mil",1,0.0254)*DDR2Specs!$E$9</f>
        <v>#REF!</v>
      </c>
      <c r="Y121" s="172" t="e">
        <f>$X$110 + IF($B$2="mil",1,0.0254)*DDR2Specs!$F$9</f>
        <v>#REF!</v>
      </c>
      <c r="Z121" s="173" t="e">
        <f t="shared" si="66"/>
        <v>#REF!</v>
      </c>
      <c r="AA121" s="174" t="e">
        <f t="shared" si="67"/>
        <v>#REF!</v>
      </c>
      <c r="AB121" s="287">
        <f t="shared" si="70"/>
        <v>4225.9599999999991</v>
      </c>
      <c r="AC121" s="172">
        <f t="shared" si="71"/>
        <v>5055.2599999999993</v>
      </c>
      <c r="AD121" s="172" t="e">
        <f>$AE$110 + IF($B$2="mil",1,0.0254)*DDR2Specs!$E$9</f>
        <v>#REF!</v>
      </c>
      <c r="AE121" s="172" t="e">
        <f>$AD$110 + IF($B$2="mil",1,0.0254)*DDR2Specs!$F$9</f>
        <v>#REF!</v>
      </c>
      <c r="AF121" s="173" t="e">
        <f t="shared" si="72"/>
        <v>#REF!</v>
      </c>
      <c r="AG121" s="174" t="e">
        <f t="shared" si="73"/>
        <v>#REF!</v>
      </c>
      <c r="AH121" s="2"/>
      <c r="AI121" s="2"/>
      <c r="AJ121" s="2"/>
      <c r="AK121" s="2"/>
      <c r="AL121" s="2"/>
      <c r="AM121" s="2"/>
      <c r="AN121" s="2"/>
      <c r="AO121" s="2"/>
      <c r="AP121" s="2"/>
      <c r="AQ121" s="217" t="s">
        <v>96</v>
      </c>
      <c r="AR121" s="307" t="e">
        <f t="shared" si="74"/>
        <v>#REF!</v>
      </c>
      <c r="AS121" s="2"/>
      <c r="AT121" s="176" t="e">
        <f t="shared" ca="1" si="75"/>
        <v>#NAME?</v>
      </c>
      <c r="AU121" s="176" t="e">
        <f t="shared" ca="1" si="76"/>
        <v>#NAME?</v>
      </c>
      <c r="AV121" s="176" t="e">
        <f t="shared" si="68"/>
        <v>#REF!</v>
      </c>
      <c r="AW121" s="307" t="e">
        <f t="shared" si="69"/>
        <v>#REF!</v>
      </c>
      <c r="AX121" s="4" t="e">
        <f t="shared" ca="1" si="77"/>
        <v>#REF!</v>
      </c>
      <c r="AY121" s="2"/>
    </row>
    <row r="122" spans="18:51" x14ac:dyDescent="0.2">
      <c r="R122" s="217" t="s">
        <v>98</v>
      </c>
      <c r="S122" s="273">
        <v>559.79</v>
      </c>
      <c r="T122" s="273">
        <v>37.24</v>
      </c>
      <c r="U122" s="273">
        <v>37.24</v>
      </c>
      <c r="V122" s="287">
        <f t="shared" si="64"/>
        <v>4016.8199999999997</v>
      </c>
      <c r="W122" s="172">
        <f t="shared" si="65"/>
        <v>4583.7199999999993</v>
      </c>
      <c r="X122" s="172" t="e">
        <f>$Y$110 + IF($B$2="mil",1,0.0254)*DDR2Specs!$E$9</f>
        <v>#REF!</v>
      </c>
      <c r="Y122" s="172" t="e">
        <f>$X$110 + IF($B$2="mil",1,0.0254)*DDR2Specs!$F$9</f>
        <v>#REF!</v>
      </c>
      <c r="Z122" s="173" t="e">
        <f t="shared" si="66"/>
        <v>#REF!</v>
      </c>
      <c r="AA122" s="174" t="e">
        <f t="shared" si="67"/>
        <v>#REF!</v>
      </c>
      <c r="AB122" s="287">
        <f t="shared" si="70"/>
        <v>4016.8199999999997</v>
      </c>
      <c r="AC122" s="172">
        <f t="shared" si="71"/>
        <v>4583.7199999999993</v>
      </c>
      <c r="AD122" s="172" t="e">
        <f>$AE$110 + IF($B$2="mil",1,0.0254)*DDR2Specs!$E$9</f>
        <v>#REF!</v>
      </c>
      <c r="AE122" s="172" t="e">
        <f>$AD$110 + IF($B$2="mil",1,0.0254)*DDR2Specs!$F$9</f>
        <v>#REF!</v>
      </c>
      <c r="AF122" s="173" t="e">
        <f t="shared" si="72"/>
        <v>#REF!</v>
      </c>
      <c r="AG122" s="174" t="e">
        <f t="shared" si="73"/>
        <v>#REF!</v>
      </c>
      <c r="AH122" s="2"/>
      <c r="AI122" s="2"/>
      <c r="AJ122" s="2"/>
      <c r="AK122" s="2"/>
      <c r="AL122" s="2"/>
      <c r="AM122" s="2"/>
      <c r="AN122" s="2"/>
      <c r="AO122" s="2"/>
      <c r="AP122" s="2"/>
      <c r="AQ122" s="217" t="s">
        <v>98</v>
      </c>
      <c r="AR122" s="307" t="e">
        <f t="shared" si="74"/>
        <v>#REF!</v>
      </c>
      <c r="AS122" s="2"/>
      <c r="AT122" s="176" t="e">
        <f t="shared" ca="1" si="75"/>
        <v>#NAME?</v>
      </c>
      <c r="AU122" s="176" t="e">
        <f t="shared" ca="1" si="76"/>
        <v>#NAME?</v>
      </c>
      <c r="AV122" s="176" t="e">
        <f t="shared" si="68"/>
        <v>#REF!</v>
      </c>
      <c r="AW122" s="307" t="e">
        <f t="shared" si="69"/>
        <v>#REF!</v>
      </c>
      <c r="AX122" s="4" t="e">
        <f t="shared" ca="1" si="77"/>
        <v>#REF!</v>
      </c>
      <c r="AY122" s="2"/>
    </row>
    <row r="123" spans="18:51" x14ac:dyDescent="0.2">
      <c r="R123" s="217" t="s">
        <v>99</v>
      </c>
      <c r="S123" s="273">
        <v>632.15</v>
      </c>
      <c r="T123" s="273">
        <v>72.760000000000005</v>
      </c>
      <c r="U123" s="273">
        <v>72.760000000000005</v>
      </c>
      <c r="V123" s="287">
        <f t="shared" si="64"/>
        <v>4150.96</v>
      </c>
      <c r="W123" s="172">
        <f t="shared" si="65"/>
        <v>4890.66</v>
      </c>
      <c r="X123" s="172" t="e">
        <f>$Y$110 + IF($B$2="mil",1,0.0254)*DDR2Specs!$E$9</f>
        <v>#REF!</v>
      </c>
      <c r="Y123" s="172" t="e">
        <f>$X$110 + IF($B$2="mil",1,0.0254)*DDR2Specs!$F$9</f>
        <v>#REF!</v>
      </c>
      <c r="Z123" s="173" t="e">
        <f t="shared" si="66"/>
        <v>#REF!</v>
      </c>
      <c r="AA123" s="174" t="e">
        <f t="shared" si="67"/>
        <v>#REF!</v>
      </c>
      <c r="AB123" s="287">
        <f t="shared" si="70"/>
        <v>4150.96</v>
      </c>
      <c r="AC123" s="172">
        <f t="shared" si="71"/>
        <v>4890.66</v>
      </c>
      <c r="AD123" s="172" t="e">
        <f>$AE$110 + IF($B$2="mil",1,0.0254)*DDR2Specs!$E$9</f>
        <v>#REF!</v>
      </c>
      <c r="AE123" s="172" t="e">
        <f>$AD$110 + IF($B$2="mil",1,0.0254)*DDR2Specs!$F$9</f>
        <v>#REF!</v>
      </c>
      <c r="AF123" s="173" t="e">
        <f t="shared" si="72"/>
        <v>#REF!</v>
      </c>
      <c r="AG123" s="174" t="e">
        <f t="shared" si="73"/>
        <v>#REF!</v>
      </c>
      <c r="AH123" s="2"/>
      <c r="AI123" s="2"/>
      <c r="AJ123" s="2"/>
      <c r="AK123" s="2"/>
      <c r="AL123" s="2"/>
      <c r="AM123" s="2"/>
      <c r="AN123" s="2"/>
      <c r="AO123" s="2"/>
      <c r="AP123" s="2"/>
      <c r="AQ123" s="217" t="s">
        <v>99</v>
      </c>
      <c r="AR123" s="307" t="e">
        <f t="shared" si="74"/>
        <v>#REF!</v>
      </c>
      <c r="AS123" s="2"/>
      <c r="AT123" s="176" t="e">
        <f t="shared" ca="1" si="75"/>
        <v>#NAME?</v>
      </c>
      <c r="AU123" s="176" t="e">
        <f t="shared" ca="1" si="76"/>
        <v>#NAME?</v>
      </c>
      <c r="AV123" s="176" t="e">
        <f t="shared" si="68"/>
        <v>#REF!</v>
      </c>
      <c r="AW123" s="307" t="e">
        <f t="shared" si="69"/>
        <v>#REF!</v>
      </c>
      <c r="AX123" s="4" t="e">
        <f t="shared" ca="1" si="77"/>
        <v>#REF!</v>
      </c>
      <c r="AY123" s="2"/>
    </row>
    <row r="124" spans="18:51" x14ac:dyDescent="0.2">
      <c r="R124" s="217" t="s">
        <v>100</v>
      </c>
      <c r="S124" s="273">
        <v>566.39</v>
      </c>
      <c r="T124" s="273">
        <v>77.489999999999995</v>
      </c>
      <c r="U124" s="273">
        <v>77.489999999999995</v>
      </c>
      <c r="V124" s="287">
        <f t="shared" si="64"/>
        <v>4190.6499999999996</v>
      </c>
      <c r="W124" s="172">
        <f t="shared" si="65"/>
        <v>4932.8499999999995</v>
      </c>
      <c r="X124" s="172" t="e">
        <f>$Y$110 + IF($B$2="mil",1,0.0254)*DDR2Specs!$E$9</f>
        <v>#REF!</v>
      </c>
      <c r="Y124" s="172" t="e">
        <f>$X$110 + IF($B$2="mil",1,0.0254)*DDR2Specs!$F$9</f>
        <v>#REF!</v>
      </c>
      <c r="Z124" s="173" t="e">
        <f t="shared" si="66"/>
        <v>#REF!</v>
      </c>
      <c r="AA124" s="174" t="e">
        <f t="shared" si="67"/>
        <v>#REF!</v>
      </c>
      <c r="AB124" s="287">
        <f t="shared" si="70"/>
        <v>4190.6499999999996</v>
      </c>
      <c r="AC124" s="172">
        <f t="shared" si="71"/>
        <v>4932.8499999999995</v>
      </c>
      <c r="AD124" s="172" t="e">
        <f>$AE$110 + IF($B$2="mil",1,0.0254)*DDR2Specs!$E$9</f>
        <v>#REF!</v>
      </c>
      <c r="AE124" s="172" t="e">
        <f>$AD$110 + IF($B$2="mil",1,0.0254)*DDR2Specs!$F$9</f>
        <v>#REF!</v>
      </c>
      <c r="AF124" s="173" t="e">
        <f t="shared" si="72"/>
        <v>#REF!</v>
      </c>
      <c r="AG124" s="174" t="e">
        <f t="shared" si="73"/>
        <v>#REF!</v>
      </c>
      <c r="AH124" s="2"/>
      <c r="AI124" s="2"/>
      <c r="AJ124" s="2"/>
      <c r="AK124" s="2"/>
      <c r="AL124" s="2"/>
      <c r="AM124" s="2"/>
      <c r="AN124" s="2"/>
      <c r="AO124" s="2"/>
      <c r="AP124" s="2"/>
      <c r="AQ124" s="217" t="s">
        <v>100</v>
      </c>
      <c r="AR124" s="307" t="e">
        <f t="shared" si="74"/>
        <v>#REF!</v>
      </c>
      <c r="AS124" s="2"/>
      <c r="AT124" s="176" t="e">
        <f t="shared" ca="1" si="75"/>
        <v>#NAME?</v>
      </c>
      <c r="AU124" s="176" t="e">
        <f t="shared" ca="1" si="76"/>
        <v>#NAME?</v>
      </c>
      <c r="AV124" s="176" t="e">
        <f t="shared" si="68"/>
        <v>#REF!</v>
      </c>
      <c r="AW124" s="307" t="e">
        <f t="shared" si="69"/>
        <v>#REF!</v>
      </c>
      <c r="AX124" s="4" t="e">
        <f t="shared" ca="1" si="77"/>
        <v>#REF!</v>
      </c>
      <c r="AY124" s="2"/>
    </row>
    <row r="125" spans="18:51" x14ac:dyDescent="0.2">
      <c r="R125" s="217" t="s">
        <v>101</v>
      </c>
      <c r="S125" s="273">
        <v>566.39</v>
      </c>
      <c r="T125" s="273">
        <v>77.489999999999995</v>
      </c>
      <c r="U125" s="273">
        <v>77.489999999999995</v>
      </c>
      <c r="V125" s="287">
        <f t="shared" si="64"/>
        <v>4070.6499999999996</v>
      </c>
      <c r="W125" s="172">
        <f t="shared" si="65"/>
        <v>4572.6499999999996</v>
      </c>
      <c r="X125" s="172" t="e">
        <f>$Y$110 + IF($B$2="mil",1,0.0254)*DDR2Specs!$E$9</f>
        <v>#REF!</v>
      </c>
      <c r="Y125" s="172" t="e">
        <f>$X$110 + IF($B$2="mil",1,0.0254)*DDR2Specs!$F$9</f>
        <v>#REF!</v>
      </c>
      <c r="Z125" s="173" t="e">
        <f t="shared" si="66"/>
        <v>#REF!</v>
      </c>
      <c r="AA125" s="174" t="e">
        <f t="shared" si="67"/>
        <v>#REF!</v>
      </c>
      <c r="AB125" s="287">
        <f t="shared" si="70"/>
        <v>4070.6499999999996</v>
      </c>
      <c r="AC125" s="172">
        <f t="shared" si="71"/>
        <v>4572.6499999999996</v>
      </c>
      <c r="AD125" s="172" t="e">
        <f>$AE$110 + IF($B$2="mil",1,0.0254)*DDR2Specs!$E$9</f>
        <v>#REF!</v>
      </c>
      <c r="AE125" s="172" t="e">
        <f>$AD$110 + IF($B$2="mil",1,0.0254)*DDR2Specs!$F$9</f>
        <v>#REF!</v>
      </c>
      <c r="AF125" s="173" t="e">
        <f t="shared" si="72"/>
        <v>#REF!</v>
      </c>
      <c r="AG125" s="174" t="e">
        <f t="shared" si="73"/>
        <v>#REF!</v>
      </c>
      <c r="AH125" s="2"/>
      <c r="AI125" s="2"/>
      <c r="AJ125" s="2"/>
      <c r="AK125" s="2"/>
      <c r="AL125" s="2"/>
      <c r="AM125" s="2"/>
      <c r="AN125" s="2"/>
      <c r="AO125" s="2"/>
      <c r="AP125" s="2"/>
      <c r="AQ125" s="217" t="s">
        <v>101</v>
      </c>
      <c r="AR125" s="307" t="e">
        <f t="shared" si="74"/>
        <v>#REF!</v>
      </c>
      <c r="AS125" s="2"/>
      <c r="AT125" s="176" t="e">
        <f t="shared" ca="1" si="75"/>
        <v>#NAME?</v>
      </c>
      <c r="AU125" s="176" t="e">
        <f t="shared" ca="1" si="76"/>
        <v>#NAME?</v>
      </c>
      <c r="AV125" s="176" t="e">
        <f t="shared" si="68"/>
        <v>#REF!</v>
      </c>
      <c r="AW125" s="307" t="e">
        <f t="shared" si="69"/>
        <v>#REF!</v>
      </c>
      <c r="AX125" s="4" t="e">
        <f t="shared" ca="1" si="77"/>
        <v>#REF!</v>
      </c>
      <c r="AY125" s="2"/>
    </row>
    <row r="126" spans="18:51" x14ac:dyDescent="0.2">
      <c r="R126" s="180" t="s">
        <v>278</v>
      </c>
      <c r="S126" s="298"/>
      <c r="T126" s="298"/>
      <c r="U126" s="298"/>
      <c r="V126" s="184"/>
      <c r="W126" s="184"/>
      <c r="X126" s="184"/>
      <c r="Y126" s="184"/>
      <c r="Z126" s="187"/>
      <c r="AA126" s="187"/>
      <c r="AB126" s="184"/>
      <c r="AC126" s="184"/>
      <c r="AD126" s="184"/>
      <c r="AE126" s="184"/>
      <c r="AF126" s="187"/>
      <c r="AG126" s="187"/>
      <c r="AH126" s="2"/>
      <c r="AI126" s="2"/>
      <c r="AJ126" s="2"/>
      <c r="AK126" s="2"/>
      <c r="AL126" s="2"/>
      <c r="AM126" s="2"/>
      <c r="AN126" s="2"/>
      <c r="AO126" s="2"/>
      <c r="AP126" s="2"/>
      <c r="AQ126" s="180" t="s">
        <v>278</v>
      </c>
      <c r="AR126" s="308"/>
      <c r="AS126" s="2"/>
      <c r="AT126" s="159"/>
      <c r="AU126" s="159"/>
      <c r="AV126" s="159"/>
      <c r="AW126" s="309"/>
      <c r="AX126" s="2"/>
      <c r="AY126" s="2"/>
    </row>
    <row r="127" spans="18:51" x14ac:dyDescent="0.2">
      <c r="R127" s="162" t="s">
        <v>102</v>
      </c>
      <c r="S127" s="273">
        <v>570.59</v>
      </c>
      <c r="T127" s="297">
        <v>72.239999999999995</v>
      </c>
      <c r="U127" s="297">
        <v>72.239999999999995</v>
      </c>
      <c r="V127" s="287">
        <f>SUM($E49:$H49,$M49,$N49,$P49,$Q49,$S127,$S101,$T127)</f>
        <v>4072.49</v>
      </c>
      <c r="W127" s="172">
        <f>$V127+$C49</f>
        <v>4385.8364566929131</v>
      </c>
      <c r="X127" s="172" t="e">
        <f>$Y$110 + IF($B$2="mil",1,0.0254)*DDR2Specs!$E$9</f>
        <v>#REF!</v>
      </c>
      <c r="Y127" s="172" t="e">
        <f>$X$110 + IF($B$2="mil",1,0.0254)*DDR2Specs!$F$9</f>
        <v>#REF!</v>
      </c>
      <c r="Z127" s="173" t="e">
        <f>IF($W127&lt;$X127,$X127-$W127,"Pass")</f>
        <v>#REF!</v>
      </c>
      <c r="AA127" s="174" t="e">
        <f>IF($W127&gt;$Y127,$W127-$Y127,"Pass")</f>
        <v>#REF!</v>
      </c>
      <c r="AB127" s="287">
        <f t="shared" si="70"/>
        <v>4072.49</v>
      </c>
      <c r="AC127" s="172">
        <f t="shared" si="71"/>
        <v>4385.8364566929131</v>
      </c>
      <c r="AD127" s="172" t="e">
        <f>$AE$110 + IF($B$2="mil",1,0.0254)*DDR2Specs!$E$9</f>
        <v>#REF!</v>
      </c>
      <c r="AE127" s="172" t="e">
        <f>$AD$110 + IF($B$2="mil",1,0.0254)*DDR2Specs!$F$9</f>
        <v>#REF!</v>
      </c>
      <c r="AF127" s="173" t="e">
        <f t="shared" si="72"/>
        <v>#REF!</v>
      </c>
      <c r="AG127" s="174" t="e">
        <f t="shared" si="73"/>
        <v>#REF!</v>
      </c>
      <c r="AH127" s="2"/>
      <c r="AI127" s="2"/>
      <c r="AJ127" s="2"/>
      <c r="AK127" s="2"/>
      <c r="AL127" s="2"/>
      <c r="AM127" s="2"/>
      <c r="AN127" s="2"/>
      <c r="AO127" s="2"/>
      <c r="AP127" s="2"/>
      <c r="AQ127" s="162" t="s">
        <v>102</v>
      </c>
      <c r="AR127" s="307" t="e">
        <f t="shared" si="74"/>
        <v>#REF!</v>
      </c>
      <c r="AS127" s="2"/>
      <c r="AT127" s="176" t="e">
        <f ca="1">CheckLength2(1400,S127,T127,0)</f>
        <v>#NAME?</v>
      </c>
      <c r="AU127" s="176" t="e">
        <f ca="1">CheckLength2(1400,S127,U127,0)</f>
        <v>#NAME?</v>
      </c>
      <c r="AV127" s="176" t="e">
        <f>IF(AND(V127&gt;=IF($B$2="mil",1,0.0254)*500, $V127&lt;=IF($B$2="mil",1,0.0254)*7500),"Pass",IF($B$2="mil",1,0.0254)*7500-$V127)</f>
        <v>#REF!</v>
      </c>
      <c r="AW127" s="307" t="e">
        <f>IF(AND($W127&gt;=IF($B$2="mil",1,0.0254)*500, $W127&lt;=IF($B$2="mil",1,0.0254)*8000),"Pass",IF($B$2="mil",1,0.0254)*8000-$W127)</f>
        <v>#REF!</v>
      </c>
      <c r="AX127" s="4" t="e">
        <f t="shared" ca="1" si="77"/>
        <v>#REF!</v>
      </c>
      <c r="AY127" s="2"/>
    </row>
    <row r="128" spans="18:51" x14ac:dyDescent="0.2">
      <c r="R128" s="216" t="s">
        <v>103</v>
      </c>
      <c r="S128" s="273">
        <v>585.74</v>
      </c>
      <c r="T128" s="297">
        <v>51.87</v>
      </c>
      <c r="U128" s="297">
        <v>51.87</v>
      </c>
      <c r="V128" s="287">
        <f>SUM($E50:$H50,$M50,$N50,$P50,$Q50,$S128,$S102,$T128)</f>
        <v>4121.6400000000003</v>
      </c>
      <c r="W128" s="172">
        <f>$V128+$C50</f>
        <v>4479.1203149606299</v>
      </c>
      <c r="X128" s="172" t="e">
        <f>$Y$110 + IF($B$2="mil",1,0.0254)*DDR2Specs!$E$9</f>
        <v>#REF!</v>
      </c>
      <c r="Y128" s="172" t="e">
        <f>$X$110 + IF($B$2="mil",1,0.0254)*DDR2Specs!$F$9</f>
        <v>#REF!</v>
      </c>
      <c r="Z128" s="173" t="e">
        <f>IF($W128&lt;$X128,$X128-$W128,"Pass")</f>
        <v>#REF!</v>
      </c>
      <c r="AA128" s="174" t="e">
        <f>IF($W128&gt;$Y128,$W128-$Y128,"Pass")</f>
        <v>#REF!</v>
      </c>
      <c r="AB128" s="287">
        <f t="shared" si="70"/>
        <v>4121.6400000000003</v>
      </c>
      <c r="AC128" s="172">
        <f t="shared" si="71"/>
        <v>4479.1203149606299</v>
      </c>
      <c r="AD128" s="172" t="e">
        <f>$AE$110 + IF($B$2="mil",1,0.0254)*DDR2Specs!$E$9</f>
        <v>#REF!</v>
      </c>
      <c r="AE128" s="172" t="e">
        <f>$AD$110 + IF($B$2="mil",1,0.0254)*DDR2Specs!$F$9</f>
        <v>#REF!</v>
      </c>
      <c r="AF128" s="173" t="e">
        <f t="shared" si="72"/>
        <v>#REF!</v>
      </c>
      <c r="AG128" s="174" t="e">
        <f t="shared" si="73"/>
        <v>#REF!</v>
      </c>
      <c r="AH128" s="2"/>
      <c r="AI128" s="2"/>
      <c r="AJ128" s="2"/>
      <c r="AK128" s="2"/>
      <c r="AL128" s="2"/>
      <c r="AM128" s="2"/>
      <c r="AN128" s="2"/>
      <c r="AO128" s="2"/>
      <c r="AP128" s="2"/>
      <c r="AQ128" s="216" t="s">
        <v>103</v>
      </c>
      <c r="AR128" s="307" t="e">
        <f t="shared" si="74"/>
        <v>#REF!</v>
      </c>
      <c r="AS128" s="2"/>
      <c r="AT128" s="176" t="e">
        <f ca="1">CheckLength2(1400,S128,T128,0)</f>
        <v>#NAME?</v>
      </c>
      <c r="AU128" s="176" t="e">
        <f ca="1">CheckLength2(1400,S128,U128,0)</f>
        <v>#NAME?</v>
      </c>
      <c r="AV128" s="176" t="e">
        <f>IF(AND(V128&gt;=IF($B$2="mil",1,0.0254)*500, $V128&lt;=IF($B$2="mil",1,0.0254)*7500),"Pass",IF($B$2="mil",1,0.0254)*7500-$V128)</f>
        <v>#REF!</v>
      </c>
      <c r="AW128" s="307" t="e">
        <f>IF(AND($W128&gt;=IF($B$2="mil",1,0.0254)*500, $W128&lt;=IF($B$2="mil",1,0.0254)*8000),"Pass",IF($B$2="mil",1,0.0254)*8000-$W128)</f>
        <v>#REF!</v>
      </c>
      <c r="AX128" s="4" t="e">
        <f t="shared" ca="1" si="77"/>
        <v>#REF!</v>
      </c>
      <c r="AY128" s="2"/>
    </row>
    <row r="129" spans="18:51" x14ac:dyDescent="0.2">
      <c r="R129" s="216" t="s">
        <v>104</v>
      </c>
      <c r="S129" s="273">
        <v>541.1</v>
      </c>
      <c r="T129" s="297">
        <v>74.75</v>
      </c>
      <c r="U129" s="297">
        <v>74.75</v>
      </c>
      <c r="V129" s="287">
        <f>SUM($E51:$H51,$M51,$N51,$P51,$Q51,$S129,$S103,$T129)</f>
        <v>3944.68</v>
      </c>
      <c r="W129" s="172">
        <f>$V129+$C51</f>
        <v>4912.9083464566929</v>
      </c>
      <c r="X129" s="172" t="e">
        <f>$Y$110 + IF($B$2="mil",1,0.0254)*DDR2Specs!$E$9</f>
        <v>#REF!</v>
      </c>
      <c r="Y129" s="172" t="e">
        <f>$X$110 + IF($B$2="mil",1,0.0254)*DDR2Specs!$F$9</f>
        <v>#REF!</v>
      </c>
      <c r="Z129" s="173" t="e">
        <f>IF($W129&lt;$X129,$X129-$W129,"Pass")</f>
        <v>#REF!</v>
      </c>
      <c r="AA129" s="174" t="e">
        <f>IF($W129&gt;$Y129,$W129-$Y129,"Pass")</f>
        <v>#REF!</v>
      </c>
      <c r="AB129" s="287">
        <f t="shared" si="70"/>
        <v>3944.68</v>
      </c>
      <c r="AC129" s="172">
        <f t="shared" si="71"/>
        <v>4912.9083464566929</v>
      </c>
      <c r="AD129" s="172" t="e">
        <f>$AE$110 + IF($B$2="mil",1,0.0254)*DDR2Specs!$E$9</f>
        <v>#REF!</v>
      </c>
      <c r="AE129" s="172" t="e">
        <f>$AD$110 + IF($B$2="mil",1,0.0254)*DDR2Specs!$F$9</f>
        <v>#REF!</v>
      </c>
      <c r="AF129" s="173" t="e">
        <f t="shared" si="72"/>
        <v>#REF!</v>
      </c>
      <c r="AG129" s="174" t="e">
        <f t="shared" si="73"/>
        <v>#REF!</v>
      </c>
      <c r="AH129" s="2"/>
      <c r="AI129" s="2"/>
      <c r="AJ129" s="2"/>
      <c r="AK129" s="2"/>
      <c r="AL129" s="2"/>
      <c r="AM129" s="2"/>
      <c r="AN129" s="2"/>
      <c r="AO129" s="2"/>
      <c r="AP129" s="2"/>
      <c r="AQ129" s="216" t="s">
        <v>104</v>
      </c>
      <c r="AR129" s="307" t="e">
        <f t="shared" si="74"/>
        <v>#REF!</v>
      </c>
      <c r="AS129" s="2"/>
      <c r="AT129" s="176" t="e">
        <f ca="1">CheckLength2(1400,S129,T129,0)</f>
        <v>#NAME?</v>
      </c>
      <c r="AU129" s="176" t="e">
        <f ca="1">CheckLength2(1400,S129,U129,0)</f>
        <v>#NAME?</v>
      </c>
      <c r="AV129" s="176" t="e">
        <f>IF(AND(V129&gt;=IF($B$2="mil",1,0.0254)*500, $V129&lt;=IF($B$2="mil",1,0.0254)*7500),"Pass",IF($B$2="mil",1,0.0254)*7500-$V129)</f>
        <v>#REF!</v>
      </c>
      <c r="AW129" s="307" t="e">
        <f>IF(AND($W129&gt;=IF($B$2="mil",1,0.0254)*500, $W129&lt;=IF($B$2="mil",1,0.0254)*8000),"Pass",IF($B$2="mil",1,0.0254)*8000-$W129)</f>
        <v>#REF!</v>
      </c>
      <c r="AX129" s="4" t="e">
        <f t="shared" ca="1" si="77"/>
        <v>#REF!</v>
      </c>
      <c r="AY129" s="2"/>
    </row>
    <row r="130" spans="18:51" x14ac:dyDescent="0.2">
      <c r="R130" s="180" t="s">
        <v>279</v>
      </c>
      <c r="S130" s="298"/>
      <c r="T130" s="298"/>
      <c r="U130" s="298"/>
      <c r="V130" s="184"/>
      <c r="W130" s="184"/>
      <c r="X130" s="184"/>
      <c r="Y130" s="184"/>
      <c r="Z130" s="187"/>
      <c r="AA130" s="187"/>
      <c r="AB130" s="184"/>
      <c r="AC130" s="184"/>
      <c r="AD130" s="184"/>
      <c r="AE130" s="184"/>
      <c r="AF130" s="187"/>
      <c r="AG130" s="187"/>
      <c r="AH130" s="2"/>
      <c r="AI130" s="2"/>
      <c r="AJ130" s="2"/>
      <c r="AK130" s="2"/>
      <c r="AL130" s="2"/>
      <c r="AM130" s="2"/>
      <c r="AN130" s="2"/>
      <c r="AO130" s="2"/>
      <c r="AP130" s="2"/>
      <c r="AQ130" s="180" t="s">
        <v>279</v>
      </c>
      <c r="AR130" s="309"/>
      <c r="AS130" s="2"/>
      <c r="AT130" s="187"/>
      <c r="AU130" s="187"/>
      <c r="AV130" s="187"/>
      <c r="AW130" s="309"/>
      <c r="AX130" s="2"/>
      <c r="AY130" s="2"/>
    </row>
    <row r="131" spans="18:51" x14ac:dyDescent="0.2">
      <c r="R131" s="162" t="s">
        <v>106</v>
      </c>
      <c r="S131" s="273">
        <v>564.66</v>
      </c>
      <c r="T131" s="297">
        <v>28.02</v>
      </c>
      <c r="U131" s="297">
        <v>28.02</v>
      </c>
      <c r="V131" s="287">
        <f>SUM($E53:$H53,$M53,$N53,$P53,$Q53,$S131,$S105,$T131)</f>
        <v>3907.2999999999993</v>
      </c>
      <c r="W131" s="172">
        <f>$V131+$C53</f>
        <v>4256.7999999999993</v>
      </c>
      <c r="X131" s="172" t="e">
        <f>$Y$110 + IF($B$2="mil",1,0.0254)*DDR2Specs!$E$9</f>
        <v>#REF!</v>
      </c>
      <c r="Y131" s="172" t="e">
        <f>$X$110 + IF($B$2="mil",1,0.0254)*DDR2Specs!$F$9</f>
        <v>#REF!</v>
      </c>
      <c r="Z131" s="173" t="e">
        <f>IF($W131&lt;$X131,$X131-$W131,"Pass")</f>
        <v>#REF!</v>
      </c>
      <c r="AA131" s="174" t="e">
        <f>IF($W131&gt;$Y131,$W131-$Y131,"Pass")</f>
        <v>#REF!</v>
      </c>
      <c r="AB131" s="287">
        <f t="shared" si="70"/>
        <v>3907.2999999999993</v>
      </c>
      <c r="AC131" s="172">
        <f t="shared" si="71"/>
        <v>4256.7999999999993</v>
      </c>
      <c r="AD131" s="172" t="e">
        <f>$AE$110 + IF($B$2="mil",1,0.0254)*DDR2Specs!$E$9</f>
        <v>#REF!</v>
      </c>
      <c r="AE131" s="172" t="e">
        <f>$AD$110 + IF($B$2="mil",1,0.0254)*DDR2Specs!$F$9</f>
        <v>#REF!</v>
      </c>
      <c r="AF131" s="173" t="e">
        <f t="shared" si="72"/>
        <v>#REF!</v>
      </c>
      <c r="AG131" s="174" t="e">
        <f t="shared" si="73"/>
        <v>#REF!</v>
      </c>
      <c r="AH131" s="2"/>
      <c r="AI131" s="2"/>
      <c r="AJ131" s="2"/>
      <c r="AK131" s="2"/>
      <c r="AL131" s="2"/>
      <c r="AM131" s="2"/>
      <c r="AN131" s="2"/>
      <c r="AO131" s="2"/>
      <c r="AP131" s="2"/>
      <c r="AQ131" s="162" t="s">
        <v>106</v>
      </c>
      <c r="AR131" s="307" t="e">
        <f t="shared" si="74"/>
        <v>#REF!</v>
      </c>
      <c r="AS131" s="2"/>
      <c r="AT131" s="176" t="e">
        <f ca="1">CheckLength2(1400,S131,T131,0)</f>
        <v>#NAME?</v>
      </c>
      <c r="AU131" s="176" t="e">
        <f ca="1">CheckLength2(1400,S131,U131,0)</f>
        <v>#NAME?</v>
      </c>
      <c r="AV131" s="176" t="e">
        <f>IF(AND(V131&gt;=IF($B$2="mil",1,0.0254)*500, $V131&lt;=IF($B$2="mil",1,0.0254)*7500),"Pass",IF($B$2="mil",1,0.0254)*7500-$V131)</f>
        <v>#REF!</v>
      </c>
      <c r="AW131" s="307" t="e">
        <f>IF(AND($W131&gt;=IF($B$2="mil",1,0.0254)*500, $W131&lt;=IF($B$2="mil",1,0.0254)*8000),"Pass",IF($B$2="mil",1,0.0254)*8000-$W131)</f>
        <v>#REF!</v>
      </c>
      <c r="AX131" s="4" t="e">
        <f t="shared" ca="1" si="77"/>
        <v>#REF!</v>
      </c>
      <c r="AY131" s="2"/>
    </row>
    <row r="132" spans="18:51" x14ac:dyDescent="0.2">
      <c r="R132" s="217" t="s">
        <v>107</v>
      </c>
      <c r="S132" s="273">
        <v>578.77</v>
      </c>
      <c r="T132" s="297">
        <v>51.88</v>
      </c>
      <c r="U132" s="297">
        <v>51.88</v>
      </c>
      <c r="V132" s="287">
        <f>SUM($E54:$H54,$M54,$N54,$P54,$Q54,$S132,$S106,$T132)</f>
        <v>3998.6199999999994</v>
      </c>
      <c r="W132" s="172">
        <f>$V132+$C54</f>
        <v>4709.2199999999993</v>
      </c>
      <c r="X132" s="172" t="e">
        <f>$Y$110 + IF($B$2="mil",1,0.0254)*DDR2Specs!$E$9</f>
        <v>#REF!</v>
      </c>
      <c r="Y132" s="172" t="e">
        <f>$X$110 + IF($B$2="mil",1,0.0254)*DDR2Specs!$F$9</f>
        <v>#REF!</v>
      </c>
      <c r="Z132" s="173" t="e">
        <f>IF($W132&lt;$X132,$X132-$W132,"Pass")</f>
        <v>#REF!</v>
      </c>
      <c r="AA132" s="174" t="e">
        <f>IF($W132&gt;$Y132,$W132-$Y132,"Pass")</f>
        <v>#REF!</v>
      </c>
      <c r="AB132" s="287">
        <f t="shared" si="70"/>
        <v>3998.6199999999994</v>
      </c>
      <c r="AC132" s="172">
        <f t="shared" si="71"/>
        <v>4709.2199999999993</v>
      </c>
      <c r="AD132" s="172" t="e">
        <f>$AE$110 + IF($B$2="mil",1,0.0254)*DDR2Specs!$E$9</f>
        <v>#REF!</v>
      </c>
      <c r="AE132" s="172" t="e">
        <f>$AD$110 + IF($B$2="mil",1,0.0254)*DDR2Specs!$F$9</f>
        <v>#REF!</v>
      </c>
      <c r="AF132" s="173" t="e">
        <f t="shared" si="72"/>
        <v>#REF!</v>
      </c>
      <c r="AG132" s="174" t="e">
        <f t="shared" si="73"/>
        <v>#REF!</v>
      </c>
      <c r="AH132" s="2"/>
      <c r="AI132" s="2"/>
      <c r="AJ132" s="2"/>
      <c r="AK132" s="2"/>
      <c r="AL132" s="2"/>
      <c r="AM132" s="2"/>
      <c r="AN132" s="2"/>
      <c r="AO132" s="2"/>
      <c r="AP132" s="2"/>
      <c r="AQ132" s="217" t="s">
        <v>107</v>
      </c>
      <c r="AR132" s="307" t="e">
        <f t="shared" si="74"/>
        <v>#REF!</v>
      </c>
      <c r="AS132" s="2"/>
      <c r="AT132" s="176" t="e">
        <f ca="1">CheckLength2(1400,S132,T132,0)</f>
        <v>#NAME?</v>
      </c>
      <c r="AU132" s="176" t="e">
        <f ca="1">CheckLength2(1400,S132,U132,0)</f>
        <v>#NAME?</v>
      </c>
      <c r="AV132" s="176" t="e">
        <f>IF(AND(V132&gt;=IF($B$2="mil",1,0.0254)*500, $V132&lt;=IF($B$2="mil",1,0.0254)*7500),"Pass",IF($B$2="mil",1,0.0254)*7500-$V132)</f>
        <v>#REF!</v>
      </c>
      <c r="AW132" s="307" t="e">
        <f>IF(AND($W132&gt;=IF($B$2="mil",1,0.0254)*500, $W132&lt;=IF($B$2="mil",1,0.0254)*8000),"Pass",IF($B$2="mil",1,0.0254)*8000-$W132)</f>
        <v>#REF!</v>
      </c>
      <c r="AX132" s="4" t="e">
        <f t="shared" ca="1" si="77"/>
        <v>#REF!</v>
      </c>
      <c r="AY132" s="2"/>
    </row>
    <row r="133" spans="18:51" x14ac:dyDescent="0.2">
      <c r="R133" s="217" t="s">
        <v>108</v>
      </c>
      <c r="S133" s="273">
        <v>574.72</v>
      </c>
      <c r="T133" s="297">
        <v>30.98</v>
      </c>
      <c r="U133" s="297">
        <v>30.98</v>
      </c>
      <c r="V133" s="287">
        <f>SUM($E55:$H55,$M55,$N55,$P55,$Q55,$S133,$S107,$T133)</f>
        <v>3980.35</v>
      </c>
      <c r="W133" s="172">
        <f>$V133+$C55</f>
        <v>4342.05</v>
      </c>
      <c r="X133" s="172" t="e">
        <f>$Y$110 + IF($B$2="mil",1,0.0254)*DDR2Specs!$E$9</f>
        <v>#REF!</v>
      </c>
      <c r="Y133" s="172" t="e">
        <f>$X$110 + IF($B$2="mil",1,0.0254)*DDR2Specs!$F$9</f>
        <v>#REF!</v>
      </c>
      <c r="Z133" s="173" t="e">
        <f>IF($W133&lt;$X133,$X133-$W133,"Pass")</f>
        <v>#REF!</v>
      </c>
      <c r="AA133" s="174" t="e">
        <f>IF($W133&gt;$Y133,$W133-$Y133,"Pass")</f>
        <v>#REF!</v>
      </c>
      <c r="AB133" s="287">
        <f t="shared" si="70"/>
        <v>3980.35</v>
      </c>
      <c r="AC133" s="172">
        <f t="shared" si="71"/>
        <v>4342.05</v>
      </c>
      <c r="AD133" s="172" t="e">
        <f>$AE$110 + IF($B$2="mil",1,0.0254)*DDR2Specs!$E$9</f>
        <v>#REF!</v>
      </c>
      <c r="AE133" s="172" t="e">
        <f>$AD$110 + IF($B$2="mil",1,0.0254)*DDR2Specs!$F$9</f>
        <v>#REF!</v>
      </c>
      <c r="AF133" s="173" t="e">
        <f t="shared" si="72"/>
        <v>#REF!</v>
      </c>
      <c r="AG133" s="174" t="e">
        <f t="shared" si="73"/>
        <v>#REF!</v>
      </c>
      <c r="AH133" s="2"/>
      <c r="AI133" s="2"/>
      <c r="AJ133" s="2"/>
      <c r="AK133" s="2"/>
      <c r="AL133" s="2"/>
      <c r="AM133" s="2"/>
      <c r="AN133" s="2"/>
      <c r="AO133" s="2"/>
      <c r="AP133" s="2"/>
      <c r="AQ133" s="217" t="s">
        <v>108</v>
      </c>
      <c r="AR133" s="307" t="e">
        <f t="shared" si="74"/>
        <v>#REF!</v>
      </c>
      <c r="AS133" s="2"/>
      <c r="AT133" s="176" t="e">
        <f ca="1">CheckLength2(1400,S133,T133,0)</f>
        <v>#NAME?</v>
      </c>
      <c r="AU133" s="176" t="e">
        <f ca="1">CheckLength2(1400,S133,U133,0)</f>
        <v>#NAME?</v>
      </c>
      <c r="AV133" s="176" t="e">
        <f>IF(AND(V133&gt;=IF($B$2="mil",1,0.0254)*500, $V133&lt;=IF($B$2="mil",1,0.0254)*7500),"Pass",IF($B$2="mil",1,0.0254)*7500-$V133)</f>
        <v>#REF!</v>
      </c>
      <c r="AW133" s="307" t="e">
        <f>IF(AND($W133&gt;=IF($B$2="mil",1,0.0254)*500, $W133&lt;=IF($B$2="mil",1,0.0254)*8000),"Pass",IF($B$2="mil",1,0.0254)*8000-$W133)</f>
        <v>#REF!</v>
      </c>
      <c r="AX133" s="4" t="e">
        <f t="shared" ca="1" si="77"/>
        <v>#REF!</v>
      </c>
      <c r="AY133" s="2"/>
    </row>
    <row r="136" spans="18:51" ht="18" x14ac:dyDescent="0.25">
      <c r="AQ136" s="374" t="s">
        <v>439</v>
      </c>
    </row>
  </sheetData>
  <protectedRanges>
    <protectedRange sqref="T79:U81 T60:U73 T75:U77 S86:U99 S101:U103 E7:H20 E22:H24 E26:H28 J26:K28 J22:K24 J7:K20 E34:H47 E49:H51 E53:H55 J53:K55 J49:K51 J34:K47 M34:N47 M49:N51 M53:N55 S105:U107 S112:U125 S127:U129 S131:U133" name="DDR2_COMMAND_8LTB"/>
  </protectedRanges>
  <mergeCells count="2">
    <mergeCell ref="A1:E1"/>
    <mergeCell ref="F1:G1"/>
  </mergeCells>
  <phoneticPr fontId="25" type="noConversion"/>
  <conditionalFormatting sqref="A1 F1:AA1">
    <cfRule type="expression" dxfId="100" priority="5" stopIfTrue="1">
      <formula>$F$1 = "Fail"</formula>
    </cfRule>
    <cfRule type="expression" dxfId="99" priority="6" stopIfTrue="1">
      <formula>$F$1 = "Pass"</formula>
    </cfRule>
  </conditionalFormatting>
  <conditionalFormatting sqref="R7:S20 U7:Z20 R22:S24 U22:Z24 R26:S28 U26:Z28 Z34:AA47 AF34:AG47 AI34:AW47 Z49:AA51 AF49:AG51 AI49:AW51 Z53:AA55 AF53:AG55 AI53:AW55 Z60:AA73 AF60:AG73 AT60:AW73 Z75:AA77 AF75:AG77 AT75:AW77 AQ77 Z79:AA81 AF79:AG81 AT79:AW81 Z86:AA99 AF86:AG99 AP86:AP99 AT86:AW99 Z101:AA103 AF101:AG103 AP101:AP103 AT101:AW103 Z105:AA107 AF105:AG107 AP105:AP107 AT105:AW107 Z112:AA125 AF112:AG125 AR112:AR125 AT112:AW125 Z127:AA129 AF127:AG129 AR127:AR129 AT127:AW129 Z131:AA133 AF131:AG133 AR131:AR133 AT131:AW133">
    <cfRule type="cellIs" priority="1" stopIfTrue="1" operator="equal">
      <formula>"Pass"</formula>
    </cfRule>
    <cfRule type="cellIs" dxfId="98" priority="2" stopIfTrue="1" operator="notEqual">
      <formula>"Pass"</formula>
    </cfRule>
  </conditionalFormatting>
  <conditionalFormatting sqref="T7:T20 T22:T24 T26:T28 AH34:AH47 AH49:AH51 AH53:AH55">
    <cfRule type="cellIs" dxfId="97" priority="3" stopIfTrue="1" operator="equal">
      <formula>"Pass"</formula>
    </cfRule>
    <cfRule type="cellIs" dxfId="96" priority="4" stopIfTrue="1" operator="notEqual">
      <formula>"Pass"</formula>
    </cfRule>
  </conditionalFormatting>
  <pageMargins left="0.75" right="0.75" top="1" bottom="1" header="0.5" footer="0.5"/>
  <headerFooter alignWithMargins="0"/>
  <drawing r:id="rId1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5"/>
  <dimension ref="A1:AS64"/>
  <sheetViews>
    <sheetView topLeftCell="A28" zoomScale="75" workbookViewId="0">
      <selection activeCell="AO26" sqref="AO26"/>
    </sheetView>
  </sheetViews>
  <sheetFormatPr defaultRowHeight="12.75" x14ac:dyDescent="0.2"/>
  <cols>
    <col min="1" max="1" width="15.7109375" style="2" customWidth="1"/>
    <col min="2" max="2" width="10.7109375" style="2" customWidth="1"/>
    <col min="3" max="3" width="8.42578125" style="2" customWidth="1"/>
    <col min="4" max="4" width="0.85546875" style="2" customWidth="1"/>
    <col min="5" max="5" width="10.42578125" style="2" customWidth="1"/>
    <col min="6" max="6" width="9.7109375" style="2" customWidth="1"/>
    <col min="7" max="7" width="10" style="2" customWidth="1"/>
    <col min="8" max="8" width="10.28515625" style="2" customWidth="1"/>
    <col min="9" max="9" width="18.140625" style="2" customWidth="1"/>
    <col min="10" max="10" width="0.85546875" style="2" customWidth="1"/>
    <col min="11" max="11" width="10" style="2" bestFit="1" customWidth="1"/>
    <col min="12" max="12" width="0.85546875" style="2" customWidth="1"/>
    <col min="13" max="13" width="16" style="2" customWidth="1"/>
    <col min="14" max="14" width="17.140625" style="2" bestFit="1" customWidth="1"/>
    <col min="15" max="15" width="0.85546875" style="2" customWidth="1"/>
    <col min="16" max="16" width="12.7109375" style="2" hidden="1" customWidth="1"/>
    <col min="17" max="17" width="10.7109375" style="2" customWidth="1"/>
    <col min="18" max="18" width="10.5703125" style="2" customWidth="1"/>
    <col min="19" max="19" width="13.42578125" style="2" customWidth="1"/>
    <col min="20" max="20" width="10.42578125" style="2" customWidth="1"/>
    <col min="21" max="21" width="11.7109375" style="2" customWidth="1"/>
    <col min="22" max="22" width="23.42578125" style="2" customWidth="1"/>
    <col min="23" max="23" width="23.5703125" style="2" customWidth="1"/>
    <col min="24" max="24" width="14.5703125" style="2" customWidth="1"/>
    <col min="25" max="25" width="16.85546875" style="2" customWidth="1"/>
    <col min="26" max="26" width="20" style="2" customWidth="1"/>
    <col min="27" max="27" width="14.85546875" style="2" customWidth="1"/>
    <col min="28" max="28" width="17.85546875" style="2" customWidth="1"/>
    <col min="29" max="29" width="11.42578125" style="2" customWidth="1"/>
    <col min="30" max="30" width="11" style="2" customWidth="1"/>
    <col min="31" max="31" width="11.5703125" style="2" customWidth="1"/>
    <col min="32" max="32" width="14.28515625" style="2" customWidth="1"/>
    <col min="33" max="33" width="11.85546875" style="2" customWidth="1"/>
    <col min="34" max="34" width="11.5703125" style="2" customWidth="1"/>
    <col min="35" max="35" width="12.140625" style="2" customWidth="1"/>
    <col min="36" max="36" width="11" style="2" customWidth="1"/>
    <col min="37" max="37" width="12.7109375" style="2" customWidth="1"/>
    <col min="38" max="38" width="12.5703125" style="2" customWidth="1"/>
    <col min="39" max="39" width="15.28515625" style="2" customWidth="1"/>
    <col min="40" max="40" width="18.7109375" style="2" customWidth="1"/>
    <col min="41" max="41" width="23.7109375" style="2" customWidth="1"/>
    <col min="42" max="42" width="24.85546875" style="2" customWidth="1"/>
    <col min="43" max="48" width="14.7109375" style="2" customWidth="1"/>
    <col min="49" max="49" width="9" style="2" customWidth="1"/>
    <col min="50" max="50" width="8.85546875" style="2" customWidth="1"/>
    <col min="51" max="51" width="9.28515625" style="2" customWidth="1"/>
    <col min="52" max="52" width="9.140625" style="2"/>
    <col min="53" max="53" width="18" style="2" customWidth="1"/>
    <col min="54" max="54" width="13.85546875" style="2" customWidth="1"/>
    <col min="55" max="55" width="15.5703125" style="2" customWidth="1"/>
    <col min="56" max="56" width="10.7109375" style="2" customWidth="1"/>
    <col min="57" max="16384" width="9.140625" style="2"/>
  </cols>
  <sheetData>
    <row r="1" spans="1:43" ht="26.25" x14ac:dyDescent="0.2">
      <c r="A1" s="1001" t="s">
        <v>68</v>
      </c>
      <c r="B1" s="1001"/>
      <c r="C1" s="1001"/>
      <c r="D1" s="1001"/>
      <c r="E1" s="1001"/>
      <c r="F1" s="1002" t="e">
        <f ca="1">IF(AND(AQ7="Pass",AQ8="Pass",AQ10="Pass",AQ11="Pass",AQ13="Pass",AQ14="Pass",AR20="Pass"),"Pass","Fail")</f>
        <v>#REF!</v>
      </c>
      <c r="G1" s="1002"/>
    </row>
    <row r="2" spans="1:43" s="82" customFormat="1" x14ac:dyDescent="0.2">
      <c r="A2" s="121" t="s">
        <v>58</v>
      </c>
      <c r="B2" s="268" t="e">
        <f>'DDR2 Clocks - 2L'!B2</f>
        <v>#REF!</v>
      </c>
      <c r="C2" s="83"/>
      <c r="D2" s="83"/>
      <c r="E2" s="83"/>
      <c r="F2" s="122"/>
      <c r="G2" s="122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237"/>
    </row>
    <row r="3" spans="1:43" s="133" customFormat="1" ht="45" customHeight="1" x14ac:dyDescent="0.2">
      <c r="A3" s="123" t="s">
        <v>79</v>
      </c>
      <c r="B3" s="123" t="s">
        <v>62</v>
      </c>
      <c r="C3" s="124" t="s">
        <v>70</v>
      </c>
      <c r="D3" s="125"/>
      <c r="E3" s="126" t="e">
        <f>"Escape
Length L0
 ["&amp;$B$2&amp;"]"</f>
        <v>#REF!</v>
      </c>
      <c r="F3" s="126" t="e">
        <f>"Breakout
Length L1
["&amp; $B$2&amp;"]"</f>
        <v>#REF!</v>
      </c>
      <c r="G3" s="126" t="e">
        <f>"Main
Length L2
[" &amp;$B$2&amp; " ]"</f>
        <v>#REF!</v>
      </c>
      <c r="H3" s="126" t="e">
        <f>"Breakin
Length S1  
[" &amp;$B$2&amp;"]"</f>
        <v>#REF!</v>
      </c>
      <c r="I3" s="130" t="e">
        <f>"Via-to-via (SODIMM-to-Rt) L3 [" &amp;$B$2&amp;"]"</f>
        <v>#REF!</v>
      </c>
      <c r="J3" s="129"/>
      <c r="K3" s="130" t="e">
        <f>"Via-to-Rt 
L4 [" &amp;$B$2&amp;"]"</f>
        <v>#REF!</v>
      </c>
      <c r="L3" s="129"/>
      <c r="M3" s="128" t="e">
        <f>"Total MB Length
(L0+L1+L2+S1)
[" &amp;$B$2&amp;"]"</f>
        <v>#REF!</v>
      </c>
      <c r="N3" s="129" t="e">
        <f>"Total Pad-to-Pin Length (P1+L0+L1+L2+S1)
[" &amp;$B$2&amp;"]"</f>
        <v>#REF!</v>
      </c>
      <c r="O3" s="130"/>
      <c r="P3" s="131" t="s">
        <v>71</v>
      </c>
      <c r="Q3" s="130" t="e">
        <f>"Target Min Length 
["&amp;$B$2&amp;"]"</f>
        <v>#REF!</v>
      </c>
      <c r="R3" s="129" t="e">
        <f>"Target Max Length 
["&amp;$B$2&amp;"]"</f>
        <v>#REF!</v>
      </c>
      <c r="S3" s="131" t="e">
        <f>"Routed Too Short [" &amp;$B$2&amp;"]"</f>
        <v>#REF!</v>
      </c>
      <c r="T3" s="130" t="e">
        <f>"Routed Too Long [" &amp;$B$2&amp;"]"</f>
        <v>#REF!</v>
      </c>
      <c r="U3" s="132" t="e">
        <f>"L0 Length Test (&lt;=" &amp; IF($B$2="mil",1,0.0254)*35&amp;$B$2&amp;")"</f>
        <v>#REF!</v>
      </c>
      <c r="V3" s="132" t="e">
        <f>"L1 Length Test (&lt;=" &amp; IF($B$2="mil",1,0.0254)*500&amp;$B$2&amp;")"</f>
        <v>#REF!</v>
      </c>
      <c r="W3" s="132" t="e">
        <f>"S1 Length test (&lt;=" &amp; IF($B$2="mil",1,0.0254)*500 &amp;$B$2&amp;")"</f>
        <v>#REF!</v>
      </c>
      <c r="X3" s="129" t="e">
        <f>"Total Length    (L0+L1+L2+S1) Test
 ("&amp;IF($B$2="mil",1,0.0254)*500&amp;"-"&amp;IF($B$2="mil",1,0.0254)*4750&amp;IF($B$2="mil","mil","mm")&amp;")"</f>
        <v>#REF!</v>
      </c>
      <c r="Y3" s="129" t="e">
        <f>"Total Length    (P1+L0+L1+L2+S1) Test
 (&lt;="&amp;IF($B$2="mil",1,25.4)*5250&amp;IF($B$2="mil","mil","mm")&amp;")"</f>
        <v>#REF!</v>
      </c>
      <c r="Z3" s="129" t="e">
        <f>"L3 Length Test (&lt;="&amp;IF($B$2="mil",1,0.0254)*1000&amp;$B$2&amp; ")"</f>
        <v>#REF!</v>
      </c>
      <c r="AA3" s="132" t="e">
        <f>"L4 Length Test (&lt;=" &amp; IF($B$2="mil",1,0.0254)*150&amp;$B$2&amp;") or (L3+L4&lt;= "&amp;IF($B$2="mil",1,0.0254)*1150&amp;$B$2&amp;")"</f>
        <v>#REF!</v>
      </c>
    </row>
    <row r="4" spans="1:43" s="4" customFormat="1" ht="12.75" customHeight="1" x14ac:dyDescent="0.2">
      <c r="A4" s="134" t="s">
        <v>259</v>
      </c>
      <c r="B4" s="134"/>
      <c r="C4" s="134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6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  <c r="AA4" s="195"/>
      <c r="AB4" s="138"/>
      <c r="AC4" s="139"/>
      <c r="AD4" s="139"/>
    </row>
    <row r="5" spans="1:43" s="4" customFormat="1" ht="11.25" x14ac:dyDescent="0.2">
      <c r="A5" s="140" t="s">
        <v>66</v>
      </c>
      <c r="B5" s="141"/>
      <c r="C5" s="141"/>
      <c r="D5" s="142"/>
      <c r="E5" s="143"/>
      <c r="F5" s="143"/>
      <c r="G5" s="143"/>
      <c r="H5" s="143"/>
      <c r="I5" s="144"/>
      <c r="J5" s="144"/>
      <c r="K5" s="143"/>
      <c r="L5" s="144"/>
      <c r="M5" s="143"/>
      <c r="N5" s="145"/>
      <c r="O5" s="147"/>
      <c r="P5" s="148"/>
      <c r="Q5" s="150" t="e">
        <f>MIN('DDR2 Clocks - 2L'!$R$10:$R$13)</f>
        <v>#REF!</v>
      </c>
      <c r="R5" s="150" t="e">
        <f>MAX('DDR2 Clocks - 2L'!$R$10:$R$13)</f>
        <v>#REF!</v>
      </c>
      <c r="S5" s="149"/>
      <c r="T5" s="149"/>
      <c r="U5" s="149"/>
      <c r="V5" s="152"/>
      <c r="W5" s="153"/>
      <c r="X5" s="153"/>
      <c r="Y5" s="153"/>
      <c r="Z5" s="153"/>
      <c r="AA5" s="153"/>
      <c r="AC5" s="21"/>
      <c r="AD5" s="21"/>
    </row>
    <row r="6" spans="1:43" s="4" customFormat="1" ht="11.25" x14ac:dyDescent="0.2">
      <c r="A6" s="134" t="s">
        <v>260</v>
      </c>
      <c r="B6" s="134"/>
      <c r="C6" s="134"/>
      <c r="D6" s="155"/>
      <c r="E6" s="156"/>
      <c r="F6" s="156"/>
      <c r="G6" s="156"/>
      <c r="H6" s="156"/>
      <c r="I6" s="157"/>
      <c r="J6" s="156"/>
      <c r="K6" s="157"/>
      <c r="L6" s="156"/>
      <c r="M6" s="156"/>
      <c r="N6" s="156"/>
      <c r="O6" s="159"/>
      <c r="P6" s="159"/>
      <c r="Q6" s="159"/>
      <c r="R6" s="160"/>
      <c r="S6" s="159"/>
      <c r="T6" s="159"/>
      <c r="U6" s="159"/>
      <c r="V6" s="159"/>
      <c r="W6" s="159"/>
      <c r="X6" s="159"/>
      <c r="Y6" s="159"/>
      <c r="Z6" s="159"/>
      <c r="AA6" s="159"/>
    </row>
    <row r="7" spans="1:43" s="4" customFormat="1" x14ac:dyDescent="0.2">
      <c r="A7" s="161" t="s">
        <v>80</v>
      </c>
      <c r="B7" s="162" t="s">
        <v>81</v>
      </c>
      <c r="C7" s="163">
        <v>650.29999999999995</v>
      </c>
      <c r="D7" s="200"/>
      <c r="E7" s="246">
        <v>29.7</v>
      </c>
      <c r="F7" s="246">
        <v>0</v>
      </c>
      <c r="G7" s="271">
        <v>1227.8399999999999</v>
      </c>
      <c r="H7" s="271">
        <v>65.459999999999994</v>
      </c>
      <c r="I7" s="165">
        <v>0</v>
      </c>
      <c r="J7" s="167"/>
      <c r="K7" s="169">
        <v>54.86</v>
      </c>
      <c r="L7" s="316"/>
      <c r="M7" s="287">
        <f xml:space="preserve"> E7+F7+G7+H7</f>
        <v>1323</v>
      </c>
      <c r="N7" s="166" t="e">
        <f>IF($B$2="mil",1,0.0254)*C7+ M7</f>
        <v>#REF!</v>
      </c>
      <c r="O7" s="170"/>
      <c r="P7" s="171" t="e">
        <f>N7-($Q$5-1250)</f>
        <v>#REF!</v>
      </c>
      <c r="Q7" s="172" t="e">
        <f>MAX($Q$5:$R$5) + IF($B$2="mil",1,0.0254)*DDR2Specs!$B$6</f>
        <v>#REF!</v>
      </c>
      <c r="R7" s="172" t="e">
        <f>MIN($Q$5:$R$5) + IF($B$2="mil",1,0.0254)*DDR2Specs!$C$6</f>
        <v>#REF!</v>
      </c>
      <c r="S7" s="173" t="e">
        <f>IF($N7&lt;$Q7,$Q7-$N7,"Pass")</f>
        <v>#REF!</v>
      </c>
      <c r="T7" s="174" t="e">
        <f>IF($N7&gt;$R7,$N7-$R7,"Pass")</f>
        <v>#REF!</v>
      </c>
      <c r="U7" s="175" t="e">
        <f>IF($E7&lt;=IF($B$2="mil",1,0.0254)*35,"Pass",IF($B$2="mil",1,0.0254)*35-$E7)</f>
        <v>#REF!</v>
      </c>
      <c r="V7" s="176" t="e">
        <f>IF($F7&lt;=IF($B$2="mil",1,0.0254)*500,"Pass",IF($B$2="mil",1,0.0254)*500-$F7)</f>
        <v>#REF!</v>
      </c>
      <c r="W7" s="176" t="e">
        <f>IF($H7&lt;=IF($B$2="mil",1,0.0254)*500,"Pass",IF($B$2="mil",1,0.0254)*500-$H7)</f>
        <v>#REF!</v>
      </c>
      <c r="X7" s="176" t="e">
        <f>IF(AND($M7&gt;=IF($B$2="mil",1,0.0254)*500, $M7&lt;=IF($B$2="mil",1,0.0254)*4750),"Pass",IF($B$2="mil",1,0.0254)*4750-$M7)</f>
        <v>#REF!</v>
      </c>
      <c r="Y7" s="176" t="e">
        <f>IF(AND($N7&gt;=IF($B$2="mil",1,0.0254)*500, $N7&lt;=IF($B$2="mil",1,0.0254)*5250),"Pass",IF($B$2="mil",1,0.0254)*5250-$N7)</f>
        <v>#REF!</v>
      </c>
      <c r="Z7" s="176" t="e">
        <f>IF((I7&lt;=IF($B$2="mil",1,0.0254)*1000),"Pass",IF($B$2="mil",1,0.0254)*1000-I7)</f>
        <v>#REF!</v>
      </c>
      <c r="AA7" s="176" t="e">
        <f ca="1">CheckLength2(1150,I7,K7,0)</f>
        <v>#NAME?</v>
      </c>
      <c r="AQ7" s="4" t="e">
        <f ca="1">IF(AND(U7="Pass",Z7="Pass",Y7="Pass",X7="Pass",W7="Pass",V7="Pass",S7="Pass",T7="Pass",AA7="Pass"),"Pass","Fail")</f>
        <v>#REF!</v>
      </c>
    </row>
    <row r="8" spans="1:43" s="4" customFormat="1" x14ac:dyDescent="0.2">
      <c r="A8" s="161" t="s">
        <v>82</v>
      </c>
      <c r="B8" s="162" t="s">
        <v>377</v>
      </c>
      <c r="C8" s="177">
        <v>471.3</v>
      </c>
      <c r="D8" s="201"/>
      <c r="E8" s="246">
        <v>29.7</v>
      </c>
      <c r="F8" s="246">
        <v>0</v>
      </c>
      <c r="G8" s="271">
        <v>1092.77</v>
      </c>
      <c r="H8" s="271">
        <v>112.27</v>
      </c>
      <c r="I8" s="165">
        <v>0</v>
      </c>
      <c r="J8" s="167"/>
      <c r="K8" s="169">
        <v>97.86</v>
      </c>
      <c r="L8" s="316"/>
      <c r="M8" s="287">
        <f xml:space="preserve"> E8+F8+G8+H8</f>
        <v>1234.74</v>
      </c>
      <c r="N8" s="166" t="e">
        <f>IF($B$2="mil",1,0.0254)*C8+ M8</f>
        <v>#REF!</v>
      </c>
      <c r="O8" s="179"/>
      <c r="P8" s="171" t="e">
        <f>N8-($Q$5-1250)</f>
        <v>#REF!</v>
      </c>
      <c r="Q8" s="172" t="e">
        <f>MAX($Q$5:$R$5) + IF($B$2="mil",1,0.0254)*DDR2Specs!$B$6</f>
        <v>#REF!</v>
      </c>
      <c r="R8" s="172" t="e">
        <f>MIN($Q$5:$R$5) + IF($B$2="mil",1,0.0254)*DDR2Specs!$C$6</f>
        <v>#REF!</v>
      </c>
      <c r="S8" s="173" t="e">
        <f>IF($N8&lt;$Q8,$Q8-$N8,"Pass")</f>
        <v>#REF!</v>
      </c>
      <c r="T8" s="174" t="e">
        <f>IF($N8&gt;$R8,$N8-$R8,"Pass")</f>
        <v>#REF!</v>
      </c>
      <c r="U8" s="175" t="e">
        <f>IF($E8&lt;=IF($B$2="mil",1,0.0254)*35,"Pass",IF($B$2="mil",1,0.0254)*35-$E8)</f>
        <v>#REF!</v>
      </c>
      <c r="V8" s="176" t="e">
        <f>IF($F8&lt;=IF($B$2="mil",1,0.0254)*500,"Pass",IF($B$2="mil",1,0.0254)*500-$F8)</f>
        <v>#REF!</v>
      </c>
      <c r="W8" s="176" t="e">
        <f>IF($H8&lt;=IF($B$2="mil",1,0.0254)*500,"Pass",IF($B$2="mil",1,0.0254)*500-$H8)</f>
        <v>#REF!</v>
      </c>
      <c r="X8" s="176" t="e">
        <f>IF(AND($M8&gt;=IF($B$2="mil",1,0.0254)*500, $M8&lt;=IF($B$2="mil",1,0.0254)*4750),"Pass",IF($B$2="mil",1,0.0254)*4750-$M8)</f>
        <v>#REF!</v>
      </c>
      <c r="Y8" s="176" t="e">
        <f>IF(AND($N8&gt;=IF($B$2="mil",1,0.0254)*500, $N8&lt;=IF($B$2="mil",1,0.0254)*5250),"Pass",IF($B$2="mil",1,0.0254)*5250-$N8)</f>
        <v>#REF!</v>
      </c>
      <c r="Z8" s="176" t="e">
        <f>IF((I8&lt;=IF($B$2="mil",1,0.0254)*1000),"Pass",IF($B$2="mil",1,0.0254)*1000-I8)</f>
        <v>#REF!</v>
      </c>
      <c r="AA8" s="176" t="e">
        <f ca="1">CheckLength2(1150,I8,K8,0)</f>
        <v>#NAME?</v>
      </c>
      <c r="AQ8" s="4" t="e">
        <f ca="1">IF(AND(U8="Pass",Z8="Pass",Y8="Pass",X8="Pass",W8="Pass",V8="Pass",S8="Pass",T8="Pass",AA8="Pass"),"Pass","Fail")</f>
        <v>#REF!</v>
      </c>
    </row>
    <row r="9" spans="1:43" s="4" customFormat="1" ht="12" x14ac:dyDescent="0.2">
      <c r="A9" s="180" t="s">
        <v>256</v>
      </c>
      <c r="B9" s="180"/>
      <c r="C9" s="180"/>
      <c r="D9" s="155"/>
      <c r="E9" s="313"/>
      <c r="F9" s="314"/>
      <c r="G9" s="315"/>
      <c r="H9" s="315"/>
      <c r="I9" s="317"/>
      <c r="J9" s="183"/>
      <c r="K9" s="317"/>
      <c r="L9" s="182"/>
      <c r="M9" s="183"/>
      <c r="N9" s="184"/>
      <c r="O9" s="184"/>
      <c r="P9" s="184"/>
      <c r="Q9" s="184"/>
      <c r="R9" s="184"/>
      <c r="S9" s="185"/>
      <c r="T9" s="185"/>
      <c r="U9" s="185"/>
      <c r="V9" s="186"/>
      <c r="W9" s="186"/>
      <c r="X9" s="187"/>
      <c r="Y9" s="187"/>
      <c r="Z9" s="187"/>
      <c r="AA9" s="207"/>
    </row>
    <row r="10" spans="1:43" s="4" customFormat="1" x14ac:dyDescent="0.2">
      <c r="A10" s="161" t="s">
        <v>83</v>
      </c>
      <c r="B10" s="162" t="s">
        <v>380</v>
      </c>
      <c r="C10" s="163">
        <v>483.3</v>
      </c>
      <c r="D10" s="200"/>
      <c r="E10" s="246">
        <v>29.7</v>
      </c>
      <c r="F10" s="246">
        <v>0</v>
      </c>
      <c r="G10" s="271">
        <v>1406.42</v>
      </c>
      <c r="H10" s="271">
        <v>61.6</v>
      </c>
      <c r="I10" s="165">
        <v>0</v>
      </c>
      <c r="J10" s="167"/>
      <c r="K10" s="165">
        <v>56.23</v>
      </c>
      <c r="L10" s="316"/>
      <c r="M10" s="287">
        <f xml:space="preserve"> E10+F10+G10+H10</f>
        <v>1497.72</v>
      </c>
      <c r="N10" s="166" t="e">
        <f>IF($B$2="mil",1,0.0254)*C10+ M10</f>
        <v>#REF!</v>
      </c>
      <c r="O10" s="170"/>
      <c r="P10" s="171" t="e">
        <f>N10-($Q$5-1250)</f>
        <v>#REF!</v>
      </c>
      <c r="Q10" s="172" t="e">
        <f>MAX($Q$5:$R$5) + IF($B$2="mil",1,0.0254)*DDR2Specs!$B$6</f>
        <v>#REF!</v>
      </c>
      <c r="R10" s="172" t="e">
        <f>MIN($Q$5:$R$5) + IF($B$2="mil",1,0.0254)*DDR2Specs!$C$6</f>
        <v>#REF!</v>
      </c>
      <c r="S10" s="173" t="e">
        <f>IF($N10&lt;$Q10,$Q10-$N10,"Pass")</f>
        <v>#REF!</v>
      </c>
      <c r="T10" s="174" t="e">
        <f>IF($N10&gt;$R10,$N10-$R10,"Pass")</f>
        <v>#REF!</v>
      </c>
      <c r="U10" s="175" t="e">
        <f>IF($E10&lt;=IF($B$2="mil",1,0.0254)*35,"Pass",IF($B$2="mil",1,0.0254)*35-$E10)</f>
        <v>#REF!</v>
      </c>
      <c r="V10" s="176" t="e">
        <f>IF($F10&lt;=IF($B$2="mil",1,0.0254)*500,"Pass",IF($B$2="mil",1,0.0254)*500-$F10)</f>
        <v>#REF!</v>
      </c>
      <c r="W10" s="176" t="e">
        <f>IF($H10&lt;=IF($B$2="mil",1,0.0254)*500,"Pass",IF($B$2="mil",1,0.0254)*500-$H10)</f>
        <v>#REF!</v>
      </c>
      <c r="X10" s="176" t="e">
        <f>IF(AND($M10&gt;=IF($B$2="mil",1,0.0254)*500, $M10&lt;=IF($B$2="mil",1,0.0254)*4750),"Pass",IF($B$2="mil",1,0.0254)*4750-$M10)</f>
        <v>#REF!</v>
      </c>
      <c r="Y10" s="176" t="e">
        <f>IF(AND($N10&gt;=IF($B$2="mil",1,0.0254)*500, $N10&lt;=IF($B$2="mil",1,0.0254)*5250),"Pass",IF($B$2="mil",1,0.0254)*5250-$N10)</f>
        <v>#REF!</v>
      </c>
      <c r="Z10" s="176" t="e">
        <f>IF((I10&lt;=IF($B$2="mil",1,0.0254)*1000),"Pass",IF($B$2="mil",1,0.0254)*1000-I10)</f>
        <v>#REF!</v>
      </c>
      <c r="AA10" s="176" t="e">
        <f ca="1">CheckLength2(1150,I10,K10,0)</f>
        <v>#NAME?</v>
      </c>
      <c r="AQ10" s="4" t="e">
        <f ca="1">IF(AND(U10="Pass",Z10="Pass",Y10="Pass",X10="Pass",W10="Pass",V10="Pass",S10="Pass",T10="Pass",AA10="Pass"),"Pass","Fail")</f>
        <v>#REF!</v>
      </c>
    </row>
    <row r="11" spans="1:43" s="4" customFormat="1" x14ac:dyDescent="0.2">
      <c r="A11" s="161" t="s">
        <v>84</v>
      </c>
      <c r="B11" s="188" t="s">
        <v>381</v>
      </c>
      <c r="C11" s="189">
        <v>291.10000000000002</v>
      </c>
      <c r="D11" s="202"/>
      <c r="E11" s="246">
        <v>29.7</v>
      </c>
      <c r="F11" s="246">
        <v>0</v>
      </c>
      <c r="G11" s="271">
        <v>1120.71</v>
      </c>
      <c r="H11" s="271">
        <v>72.81</v>
      </c>
      <c r="I11" s="165">
        <v>0</v>
      </c>
      <c r="J11" s="167"/>
      <c r="K11" s="165">
        <v>60.78</v>
      </c>
      <c r="L11" s="316"/>
      <c r="M11" s="287">
        <f xml:space="preserve"> E11+F11+G11+H11</f>
        <v>1223.22</v>
      </c>
      <c r="N11" s="166" t="e">
        <f>IF($B$2="mil",1,0.0254)*C11+ M11</f>
        <v>#REF!</v>
      </c>
      <c r="O11" s="191"/>
      <c r="P11" s="171" t="e">
        <f>N11-($Q$5-1250)</f>
        <v>#REF!</v>
      </c>
      <c r="Q11" s="172" t="e">
        <f>MAX($Q$5:$R$5) + IF($B$2="mil",1,0.0254)*DDR2Specs!$B$6</f>
        <v>#REF!</v>
      </c>
      <c r="R11" s="172" t="e">
        <f>MIN($Q$5:$R$5) + IF($B$2="mil",1,0.0254)*DDR2Specs!$C$6</f>
        <v>#REF!</v>
      </c>
      <c r="S11" s="173" t="e">
        <f>IF($N11&lt;$Q11,$Q11-$N11,"Pass")</f>
        <v>#REF!</v>
      </c>
      <c r="T11" s="174" t="e">
        <f>IF($N11&gt;$R11,$N11-$R11,"Pass")</f>
        <v>#REF!</v>
      </c>
      <c r="U11" s="175" t="e">
        <f>IF($E11&lt;=IF($B$2="mil",1,0.0254)*35,"Pass",IF($B$2="mil",1,0.0254)*35-$E11)</f>
        <v>#REF!</v>
      </c>
      <c r="V11" s="176" t="e">
        <f>IF($F11&lt;=IF($B$2="mil",1,0.0254)*500,"Pass",IF($B$2="mil",1,0.0254)*500-$F11)</f>
        <v>#REF!</v>
      </c>
      <c r="W11" s="176" t="e">
        <f>IF($H11&lt;=IF($B$2="mil",1,0.0254)*500,"Pass",IF($B$2="mil",1,0.0254)*500-$H11)</f>
        <v>#REF!</v>
      </c>
      <c r="X11" s="176" t="e">
        <f>IF(AND($M11&gt;=IF($B$2="mil",1,0.0254)*500, $M11&lt;=IF($B$2="mil",1,0.0254)*4750),"Pass",IF($B$2="mil",1,0.0254)*4750-$M11)</f>
        <v>#REF!</v>
      </c>
      <c r="Y11" s="176" t="e">
        <f>IF(AND($N11&gt;=IF($B$2="mil",1,0.0254)*500, $N11&lt;=IF($B$2="mil",1,0.0254)*5250),"Pass",IF($B$2="mil",1,0.0254)*5250-$N11)</f>
        <v>#REF!</v>
      </c>
      <c r="Z11" s="176" t="e">
        <f>IF((I11&lt;=IF($B$2="mil",1,0.0254)*1000),"Pass",IF($B$2="mil",1,0.0254)*1000-I11)</f>
        <v>#REF!</v>
      </c>
      <c r="AA11" s="176" t="e">
        <f ca="1">CheckLength2(1150,I11,K11,0)</f>
        <v>#NAME?</v>
      </c>
      <c r="AC11" s="210" t="s">
        <v>272</v>
      </c>
      <c r="AD11" s="149" t="e">
        <f>MIN('DDR2 Clocks - 2L'!$R$5:$R$6)</f>
        <v>#REF!</v>
      </c>
      <c r="AE11" s="209" t="e">
        <f>MAX('DDR2 Clocks - 2L'!$R$5:$R$6)</f>
        <v>#REF!</v>
      </c>
      <c r="AQ11" s="4" t="e">
        <f ca="1">IF(AND(U11="Pass",Z11="Pass",Y11="Pass",X11="Pass",W11="Pass",V11="Pass",S11="Pass",T11="Pass",AA11="Pass"),"Pass","Fail")</f>
        <v>#REF!</v>
      </c>
    </row>
    <row r="12" spans="1:43" s="4" customFormat="1" ht="12" x14ac:dyDescent="0.2">
      <c r="A12" s="180" t="s">
        <v>257</v>
      </c>
      <c r="B12" s="180"/>
      <c r="C12" s="180"/>
      <c r="D12" s="155"/>
      <c r="E12" s="313"/>
      <c r="F12" s="314"/>
      <c r="G12" s="315"/>
      <c r="H12" s="315"/>
      <c r="I12" s="317"/>
      <c r="J12" s="183"/>
      <c r="K12" s="317"/>
      <c r="L12" s="182"/>
      <c r="M12" s="183"/>
      <c r="N12" s="184"/>
      <c r="O12" s="184"/>
      <c r="P12" s="184"/>
      <c r="Q12" s="184"/>
      <c r="R12" s="184"/>
      <c r="S12" s="185"/>
      <c r="T12" s="185"/>
      <c r="U12" s="185"/>
      <c r="V12" s="186"/>
      <c r="W12" s="186"/>
      <c r="X12" s="187"/>
      <c r="Y12" s="187"/>
      <c r="Z12" s="187"/>
      <c r="AA12" s="207"/>
      <c r="AC12" s="340" t="s">
        <v>275</v>
      </c>
      <c r="AD12" s="209" t="e">
        <f>MIN('DDR2 Clocks - 2L'!$S$5:$S$6)</f>
        <v>#REF!</v>
      </c>
      <c r="AE12" s="209" t="e">
        <f>MAX('DDR2 Clocks - 2L'!$S$5:$S$6)</f>
        <v>#REF!</v>
      </c>
    </row>
    <row r="13" spans="1:43" s="4" customFormat="1" x14ac:dyDescent="0.2">
      <c r="A13" s="161" t="s">
        <v>85</v>
      </c>
      <c r="B13" s="162" t="s">
        <v>384</v>
      </c>
      <c r="C13" s="163">
        <v>423.8</v>
      </c>
      <c r="D13" s="200"/>
      <c r="E13" s="246">
        <v>29.7</v>
      </c>
      <c r="F13" s="246">
        <v>0</v>
      </c>
      <c r="G13" s="271">
        <v>1098.0999999999999</v>
      </c>
      <c r="H13" s="271">
        <v>129.22</v>
      </c>
      <c r="I13" s="165">
        <v>0</v>
      </c>
      <c r="J13" s="167"/>
      <c r="K13" s="165">
        <v>139.15</v>
      </c>
      <c r="L13" s="316"/>
      <c r="M13" s="287">
        <f xml:space="preserve"> E13+F13+G13+H13</f>
        <v>1257.02</v>
      </c>
      <c r="N13" s="166" t="e">
        <f>IF($B$2="mil",1,0.0254)*C13+ M13</f>
        <v>#REF!</v>
      </c>
      <c r="O13" s="170"/>
      <c r="P13" s="171" t="e">
        <f>N13-($Q$5-1250)</f>
        <v>#REF!</v>
      </c>
      <c r="Q13" s="172" t="e">
        <f>MAX($Q$5:$R$5) + IF($B$2="mil",1,0.0254)*DDR2Specs!$B$6</f>
        <v>#REF!</v>
      </c>
      <c r="R13" s="172" t="e">
        <f>MIN($Q$5:$R$5) + IF($B$2="mil",1,0.0254)*DDR2Specs!$C$6</f>
        <v>#REF!</v>
      </c>
      <c r="S13" s="173" t="e">
        <f>IF($N13&lt;$Q13,$Q13-$N13,"Pass")</f>
        <v>#REF!</v>
      </c>
      <c r="T13" s="174" t="e">
        <f>IF($N13&gt;$R13,$N13-$R13,"Pass")</f>
        <v>#REF!</v>
      </c>
      <c r="U13" s="175" t="e">
        <f>IF($E13&lt;=IF($B$2="mil",1,0.0254)*35,"Pass",IF($B$2="mil",1,0.0254)*35-$E13)</f>
        <v>#REF!</v>
      </c>
      <c r="V13" s="176" t="e">
        <f>IF($F13&lt;=IF($B$2="mil",1,0.0254)*500,"Pass",IF($B$2="mil",1,0.0254)*500-$F13)</f>
        <v>#REF!</v>
      </c>
      <c r="W13" s="176" t="e">
        <f>IF($H13&lt;=IF($B$2="mil",1,0.0254)*500,"Pass",IF($B$2="mil",1,0.0254)*500-$H13)</f>
        <v>#REF!</v>
      </c>
      <c r="X13" s="176" t="e">
        <f>IF(AND($M13&gt;=IF($B$2="mil",1,0.0254)*500, $M13&lt;=IF($B$2="mil",1,0.0254)*4750),"Pass",IF($B$2="mil",1,0.0254)*4750-$M13)</f>
        <v>#REF!</v>
      </c>
      <c r="Y13" s="176" t="e">
        <f>IF(AND($N13&gt;=IF($B$2="mil",1,0.0254)*500, $N13&lt;=IF($B$2="mil",1,0.0254)*5250),"Pass",IF($B$2="mil",1,0.0254)*5250-$N13)</f>
        <v>#REF!</v>
      </c>
      <c r="Z13" s="176" t="e">
        <f>IF((I13&lt;=IF($B$2="mil",1,0.0254)*1000),"Pass",IF($B$2="mil",1,0.0254)*1000-I13)</f>
        <v>#REF!</v>
      </c>
      <c r="AA13" s="176" t="e">
        <f ca="1">CheckLength2(1150,I13,K13,0)</f>
        <v>#NAME?</v>
      </c>
      <c r="AC13" s="340" t="s">
        <v>274</v>
      </c>
      <c r="AD13" s="209" t="e">
        <f>MIN('DDR2 Clocks - 2L'!$R$7:$R$8)</f>
        <v>#REF!</v>
      </c>
      <c r="AE13" s="209" t="e">
        <f>MAX('DDR2 Clocks - 2L'!$R$7:$R$8)</f>
        <v>#REF!</v>
      </c>
      <c r="AQ13" s="4" t="e">
        <f ca="1">IF(AND(U13="Pass",Z13="Pass",Y13="Pass",X13="Pass",W13="Pass",V13="Pass",S13="Pass",T13="Pass",AA13="Pass"),"Pass","Fail")</f>
        <v>#REF!</v>
      </c>
    </row>
    <row r="14" spans="1:43" s="4" customFormat="1" x14ac:dyDescent="0.2">
      <c r="A14" s="161" t="s">
        <v>86</v>
      </c>
      <c r="B14" s="162" t="s">
        <v>385</v>
      </c>
      <c r="C14" s="177">
        <v>384.5</v>
      </c>
      <c r="D14" s="201"/>
      <c r="E14" s="246">
        <v>29.7</v>
      </c>
      <c r="F14" s="246">
        <v>0</v>
      </c>
      <c r="G14" s="271">
        <v>1042.5899999999999</v>
      </c>
      <c r="H14" s="271">
        <v>71.78</v>
      </c>
      <c r="I14" s="165">
        <v>0</v>
      </c>
      <c r="J14" s="167"/>
      <c r="K14" s="165">
        <v>110.28</v>
      </c>
      <c r="L14" s="316"/>
      <c r="M14" s="287">
        <f xml:space="preserve"> E14+F14+G14+H14</f>
        <v>1144.07</v>
      </c>
      <c r="N14" s="166" t="e">
        <f>IF($B$2="mil",1,0.0254)*C14+ M14</f>
        <v>#REF!</v>
      </c>
      <c r="O14" s="179"/>
      <c r="P14" s="171" t="e">
        <f>N14-($Q$5-1250)</f>
        <v>#REF!</v>
      </c>
      <c r="Q14" s="172" t="e">
        <f>MAX($Q$5:$R$5) + IF($B$2="mil",1,0.0254)*DDR2Specs!$B$6</f>
        <v>#REF!</v>
      </c>
      <c r="R14" s="172" t="e">
        <f>MIN($Q$5:$R$5) + IF($B$2="mil",1,0.0254)*DDR2Specs!$C$6</f>
        <v>#REF!</v>
      </c>
      <c r="S14" s="173" t="e">
        <f>IF($N14&lt;$Q14,$Q14-$N14,"Pass")</f>
        <v>#REF!</v>
      </c>
      <c r="T14" s="174" t="e">
        <f>IF($N14&gt;$R14,$N14-$R14,"Pass")</f>
        <v>#REF!</v>
      </c>
      <c r="U14" s="175" t="e">
        <f>IF($E14&lt;=IF($B$2="mil",1,0.0254)*35,"Pass",IF($B$2="mil",1,0.0254)*35-$E14)</f>
        <v>#REF!</v>
      </c>
      <c r="V14" s="176" t="e">
        <f>IF($F14&lt;=IF($B$2="mil",1,0.0254)*500,"Pass",IF($B$2="mil",1,0.0254)*500-$F14)</f>
        <v>#REF!</v>
      </c>
      <c r="W14" s="176" t="e">
        <f>IF($H14&lt;=IF($B$2="mil",1,0.0254)*500,"Pass",IF($B$2="mil",1,0.0254)*500-$H14)</f>
        <v>#REF!</v>
      </c>
      <c r="X14" s="176" t="e">
        <f>IF(AND($M14&gt;=IF($B$2="mil",1,0.0254)*500, $M14&lt;=IF($B$2="mil",1,0.0254)*4750),"Pass",IF($B$2="mil",1,0.0254)*4750-$M14)</f>
        <v>#REF!</v>
      </c>
      <c r="Y14" s="176" t="e">
        <f>IF(AND($N14&gt;=IF($B$2="mil",1,0.0254)*500, $N14&lt;=IF($B$2="mil",1,0.0254)*5250),"Pass",IF($B$2="mil",1,0.0254)*5250-$N14)</f>
        <v>#REF!</v>
      </c>
      <c r="Z14" s="176" t="e">
        <f>IF((I14&lt;=IF($B$2="mil",1,0.0254)*1000),"Pass",IF($B$2="mil",1,0.0254)*1000-I14)</f>
        <v>#REF!</v>
      </c>
      <c r="AA14" s="176" t="e">
        <f ca="1">CheckLength2(1150,I14,K14,0)</f>
        <v>#NAME?</v>
      </c>
      <c r="AC14" s="340" t="s">
        <v>273</v>
      </c>
      <c r="AD14" s="209" t="e">
        <f>MIN('DDR2 Clocks - 2L'!$S$7:$S$8)</f>
        <v>#REF!</v>
      </c>
      <c r="AE14" s="209" t="e">
        <f>MAX('DDR2 Clocks - 2L'!$S$7:$S$8)</f>
        <v>#REF!</v>
      </c>
      <c r="AQ14" s="4" t="e">
        <f ca="1">IF(AND(U14="Pass",Z14="Pass",Y14="Pass",X14="Pass",W14="Pass",V14="Pass",S14="Pass",T14="Pass",AA14="Pass"),"Pass","Fail")</f>
        <v>#REF!</v>
      </c>
    </row>
    <row r="15" spans="1:43" ht="38.25" customHeight="1" x14ac:dyDescent="0.2">
      <c r="A15" s="46"/>
      <c r="B15" s="46"/>
      <c r="C15" s="46"/>
      <c r="D15" s="46"/>
      <c r="E15" s="46"/>
      <c r="F15" s="47"/>
      <c r="G15" s="46"/>
      <c r="H15" s="46"/>
      <c r="I15" s="46"/>
      <c r="J15" s="46"/>
      <c r="K15" s="46"/>
      <c r="L15" s="46"/>
      <c r="M15" s="46"/>
      <c r="N15" s="46"/>
      <c r="O15" s="105"/>
      <c r="P15" s="105"/>
      <c r="Q15" s="105"/>
      <c r="R15" s="105"/>
      <c r="S15" s="105"/>
      <c r="T15" s="105"/>
      <c r="U15" s="105"/>
      <c r="V15" s="106"/>
      <c r="W15" s="105"/>
      <c r="X15" s="99"/>
      <c r="Y15" s="105"/>
      <c r="Z15" s="105"/>
      <c r="AA15" s="208"/>
    </row>
    <row r="16" spans="1:43" s="133" customFormat="1" ht="33.75" x14ac:dyDescent="0.2">
      <c r="A16" s="192" t="s">
        <v>79</v>
      </c>
      <c r="B16" s="123" t="s">
        <v>62</v>
      </c>
      <c r="C16" s="193" t="s">
        <v>70</v>
      </c>
      <c r="D16" s="130"/>
      <c r="E16" s="127" t="e">
        <f>"Escape
Length L0
 ["&amp;$B$2&amp;"]"</f>
        <v>#REF!</v>
      </c>
      <c r="F16" s="127" t="e">
        <f>"Breakout
Length L1
["&amp; $B$2&amp;"]"</f>
        <v>#REF!</v>
      </c>
      <c r="G16" s="127" t="e">
        <f>"Main
Length L2
[" &amp;$B$2&amp; " ]"</f>
        <v>#REF!</v>
      </c>
      <c r="H16" s="127" t="e">
        <f>"Breakin
Length S1  
[" &amp;$B$2&amp;"]"</f>
        <v>#REF!</v>
      </c>
      <c r="I16" s="130" t="e">
        <f>"Via-to-via (SODIMM-to-Rt) L3 [" &amp;$B$2&amp;"]"</f>
        <v>#REF!</v>
      </c>
      <c r="J16" s="129"/>
      <c r="K16" s="130" t="e">
        <f>"Via-to-Rt 
L4 [" &amp;$B$2&amp;"]"</f>
        <v>#REF!</v>
      </c>
      <c r="L16" s="129"/>
      <c r="M16" s="129" t="e">
        <f>"Break-in to Rs L5 ["&amp;$B$2&amp;"]"</f>
        <v>#REF!</v>
      </c>
      <c r="N16" s="123" t="e">
        <f>"Rs Length ["&amp;$B$2&amp;"]"</f>
        <v>#REF!</v>
      </c>
      <c r="O16" s="130"/>
      <c r="P16" s="131" t="s">
        <v>71</v>
      </c>
      <c r="Q16" s="123" t="e">
        <f>"Breakout from Rs L6 ["&amp;$B$2&amp;"]"</f>
        <v>#REF!</v>
      </c>
      <c r="R16" s="123" t="e">
        <f>"Trace L7 ["&amp;$B$2&amp;"]"</f>
        <v>#REF!</v>
      </c>
      <c r="S16" s="123" t="e">
        <f>"Trace L8-1 ["&amp;$B$2&amp;"]"</f>
        <v>#REF!</v>
      </c>
      <c r="T16" s="123" t="e">
        <f>"Trace L9-1 ["&amp;$B$2&amp;"]"</f>
        <v>#REF!</v>
      </c>
      <c r="U16" s="123" t="e">
        <f>"Trace L10-1 ["&amp;$B$2&amp;"]"</f>
        <v>#REF!</v>
      </c>
      <c r="V16" s="123" t="e">
        <f>"Total MB Length to U1 (L0+L1+L2+S1+L5+Rs+L6+L7+L8-1+L9-1+L10-1) ["&amp;$B$2&amp;"]"</f>
        <v>#REF!</v>
      </c>
      <c r="W16" s="123" t="e">
        <f>"Total Pad to Pin U1 (P1+L0+L1+L2+S1+L5+Rs+L6+L7+L8-1+L9-1+L10-1) ["&amp;$B$2&amp;"]"</f>
        <v>#REF!</v>
      </c>
      <c r="X16" s="130" t="e">
        <f>"Target Min Length to U1
["&amp;$B$2&amp;"]"</f>
        <v>#REF!</v>
      </c>
      <c r="Y16" s="129" t="e">
        <f>"Target Max Length  to U1 
["&amp;$B$2&amp;"]"</f>
        <v>#REF!</v>
      </c>
      <c r="Z16" s="131" t="e">
        <f>"Routed Too Short  to U1 [" &amp;$B$2&amp;"]"</f>
        <v>#REF!</v>
      </c>
      <c r="AA16" s="130" t="e">
        <f>"Routed Too Long  to U1 [" &amp;$B$2&amp;"]"</f>
        <v>#REF!</v>
      </c>
      <c r="AB16" s="132" t="e">
        <f>"L0 Length Test (&lt;=" &amp; IF($B$2="mil",1,0.0254)*35&amp;$B$2&amp;")"</f>
        <v>#REF!</v>
      </c>
      <c r="AC16" s="132" t="e">
        <f>"L1 Length Test (&lt;=" &amp; IF($B$2="mil",1,0.0254)*500&amp;$B$2&amp;")"</f>
        <v>#REF!</v>
      </c>
      <c r="AD16" s="132" t="e">
        <f>"S1 Length Test (&lt;=" &amp; IF($B$2="mil",1,0.0254)*500 &amp;$B$2&amp;")"</f>
        <v>#REF!</v>
      </c>
      <c r="AE16" s="132" t="e">
        <f>"L3 Length Test (&lt;=" &amp; IF($B$2="mil",1,0.0254)*1000&amp;$B$2&amp;")"</f>
        <v>#REF!</v>
      </c>
      <c r="AF16" s="132" t="e">
        <f>"L4 Length Test (&lt;=" &amp; IF($B$2="mil",1,0.0254)*150&amp;$B$2&amp;") or (L3+L4&lt;= "&amp;IF($B$2="mil",1,0.0254)*1150&amp;$B$2&amp;")"</f>
        <v>#REF!</v>
      </c>
      <c r="AG16" s="132" t="e">
        <f>"L5 Length Test (&lt;=" &amp; IF($B$2="mil",1,0.0254)*125&amp;$B$2&amp;")"</f>
        <v>#REF!</v>
      </c>
      <c r="AH16" s="132" t="e">
        <f>"L6 Length Test (&lt;=" &amp; IF($B$2="mil",1,0.0254)*125&amp;$B$2&amp;")"</f>
        <v>#REF!</v>
      </c>
      <c r="AI16" s="132" t="e">
        <f>"L7 Length Test (&lt;=" &amp; IF($B$2="mil",1,0.0254)*1000&amp;$B$2&amp;")"</f>
        <v>#REF!</v>
      </c>
      <c r="AJ16" s="132" t="e">
        <f>"L8-1 Length Test (&lt;=" &amp; IF($B$2="mil",1,0.0254)*750&amp;$B$2&amp;")"</f>
        <v>#REF!</v>
      </c>
      <c r="AK16" s="132" t="e">
        <f>"Diff L8-1 &amp; L8-2 (&lt;="&amp;IF($B$2="mil",1,0.0254)*50&amp;$B$2&amp;")"</f>
        <v>#REF!</v>
      </c>
      <c r="AL16" s="132" t="e">
        <f>"L9-1 Length Test (&lt;=" &amp; IF($B$2="mil",1,0.0254)*1250&amp;$B$2&amp;")"</f>
        <v>#REF!</v>
      </c>
      <c r="AM16" s="132" t="e">
        <f>"Diff L9-1 &amp; L9-2 (&lt;="&amp;IF($B$2="mil",1,0.0254)*50&amp;$B$2&amp;")"</f>
        <v>#REF!</v>
      </c>
      <c r="AN16" s="132" t="e">
        <f>"L10-1 Length Test (&lt;=" &amp; IF($B$2="mil",1,0.0254)*150&amp;$B$2&amp;") or (L9-1+L10-1&lt;= "&amp;IF($B$2="mil",1,0.0254)*1400&amp;$B$2&amp;")"</f>
        <v>#REF!</v>
      </c>
      <c r="AO16" s="129" t="e">
        <f>"Total Length to U1 (L0+L1+L2+S1+L5+Rs+L6+L7+L8-1+L9-1+L10-1) Test
 ("&amp;IF($B$2="mil",1,0.0254)*500&amp;"-"&amp;IF($B$2="mil",1,0.0254)*7500&amp;IF($B$2="mil","mil","mm")&amp;")"</f>
        <v>#REF!</v>
      </c>
      <c r="AP16" s="129" t="e">
        <f>"Total Length to U1 (P1+L0+L1+L2+S1+L5+Rs+L6+L7+L8-1+L9-1+L10-1) Test
 (&lt;="&amp;IF($B$2="mil",1,25.4)*8000&amp;IF($B$2="mil","mil","mm")&amp;")"</f>
        <v>#REF!</v>
      </c>
      <c r="AQ16" s="4"/>
    </row>
    <row r="17" spans="1:45" s="4" customFormat="1" ht="12.75" customHeight="1" x14ac:dyDescent="0.2">
      <c r="A17" s="134" t="s">
        <v>258</v>
      </c>
      <c r="B17" s="134"/>
      <c r="C17" s="134"/>
      <c r="D17" s="135"/>
      <c r="E17" s="135"/>
      <c r="F17" s="194"/>
      <c r="G17" s="135"/>
      <c r="H17" s="135"/>
      <c r="I17" s="135"/>
      <c r="J17" s="135"/>
      <c r="K17" s="135"/>
      <c r="L17" s="135"/>
      <c r="M17" s="135"/>
      <c r="N17" s="135"/>
      <c r="O17" s="195"/>
      <c r="P17" s="195"/>
      <c r="Q17" s="135"/>
      <c r="R17" s="135"/>
      <c r="S17" s="135"/>
      <c r="T17" s="135"/>
      <c r="U17" s="135"/>
      <c r="V17" s="195"/>
      <c r="W17" s="195"/>
      <c r="X17" s="195"/>
      <c r="Y17" s="195"/>
      <c r="Z17" s="195"/>
      <c r="AA17" s="195"/>
      <c r="AB17" s="187"/>
      <c r="AC17" s="195"/>
      <c r="AD17" s="195"/>
      <c r="AE17" s="195"/>
      <c r="AF17" s="195"/>
      <c r="AG17" s="195"/>
      <c r="AH17" s="195"/>
      <c r="AI17" s="195"/>
      <c r="AJ17" s="195"/>
      <c r="AK17" s="195"/>
      <c r="AL17" s="195"/>
      <c r="AM17" s="195"/>
      <c r="AN17" s="195"/>
      <c r="AO17" s="195"/>
      <c r="AP17" s="243"/>
    </row>
    <row r="18" spans="1:45" s="4" customFormat="1" ht="11.25" x14ac:dyDescent="0.2">
      <c r="A18" s="140" t="s">
        <v>67</v>
      </c>
      <c r="B18" s="141"/>
      <c r="C18" s="141"/>
      <c r="D18" s="142"/>
      <c r="E18" s="143"/>
      <c r="F18" s="196"/>
      <c r="G18" s="143"/>
      <c r="H18" s="143"/>
      <c r="I18" s="144"/>
      <c r="J18" s="144"/>
      <c r="K18" s="143"/>
      <c r="L18" s="144"/>
      <c r="M18" s="144"/>
      <c r="N18" s="143"/>
      <c r="O18" s="147"/>
      <c r="P18" s="148"/>
      <c r="Q18" s="143"/>
      <c r="R18" s="143"/>
      <c r="S18" s="143"/>
      <c r="T18" s="143"/>
      <c r="U18" s="143"/>
      <c r="V18" s="146"/>
      <c r="W18" s="210" t="s">
        <v>272</v>
      </c>
      <c r="X18" s="149" t="e">
        <f>MIN('DDR2 Clocks - 4L'!$O$5:$O$6)</f>
        <v>#REF!</v>
      </c>
      <c r="Y18" s="209" t="e">
        <f>MAX('DDR2 Clocks - 4L'!$O$5:$O$6)</f>
        <v>#REF!</v>
      </c>
      <c r="Z18" s="151"/>
      <c r="AA18" s="149"/>
      <c r="AB18" s="197"/>
      <c r="AC18" s="197"/>
      <c r="AD18" s="153"/>
      <c r="AE18" s="153"/>
      <c r="AF18" s="153"/>
      <c r="AG18" s="153"/>
      <c r="AH18" s="153"/>
      <c r="AI18" s="153"/>
      <c r="AJ18" s="153"/>
      <c r="AK18" s="153"/>
      <c r="AL18" s="153"/>
      <c r="AM18" s="153"/>
      <c r="AN18" s="153"/>
      <c r="AO18" s="153"/>
      <c r="AP18" s="154"/>
    </row>
    <row r="19" spans="1:45" s="4" customFormat="1" ht="11.25" x14ac:dyDescent="0.2">
      <c r="A19" s="134" t="s">
        <v>425</v>
      </c>
      <c r="B19" s="134"/>
      <c r="C19" s="134"/>
      <c r="D19" s="155"/>
      <c r="E19" s="156"/>
      <c r="F19" s="198"/>
      <c r="G19" s="156"/>
      <c r="H19" s="156"/>
      <c r="I19" s="157"/>
      <c r="J19" s="156"/>
      <c r="K19" s="157"/>
      <c r="L19" s="156"/>
      <c r="M19" s="157"/>
      <c r="N19" s="157"/>
      <c r="O19" s="288"/>
      <c r="P19" s="288"/>
      <c r="Q19" s="157"/>
      <c r="R19" s="157"/>
      <c r="S19" s="157"/>
      <c r="T19" s="157"/>
      <c r="U19" s="157"/>
      <c r="V19" s="158"/>
      <c r="W19" s="159"/>
      <c r="X19" s="159"/>
      <c r="Y19" s="160"/>
      <c r="Z19" s="160"/>
      <c r="AA19" s="159"/>
      <c r="AB19" s="187"/>
      <c r="AC19" s="159"/>
      <c r="AD19" s="159"/>
      <c r="AE19" s="159"/>
      <c r="AF19" s="159"/>
      <c r="AG19" s="159"/>
      <c r="AH19" s="159"/>
      <c r="AI19" s="159"/>
      <c r="AJ19" s="159"/>
      <c r="AK19" s="159"/>
      <c r="AL19" s="159"/>
      <c r="AM19" s="159"/>
      <c r="AN19" s="159"/>
      <c r="AO19" s="159"/>
      <c r="AP19" s="206"/>
    </row>
    <row r="20" spans="1:45" s="4" customFormat="1" x14ac:dyDescent="0.2">
      <c r="A20" s="161" t="s">
        <v>73</v>
      </c>
      <c r="B20" s="162" t="s">
        <v>375</v>
      </c>
      <c r="C20" s="163">
        <v>807.9</v>
      </c>
      <c r="D20" s="164"/>
      <c r="E20" s="199">
        <v>29.7</v>
      </c>
      <c r="F20" s="165">
        <v>0</v>
      </c>
      <c r="G20" s="271">
        <v>1795.64</v>
      </c>
      <c r="H20" s="165">
        <v>0</v>
      </c>
      <c r="I20" s="165">
        <v>0</v>
      </c>
      <c r="J20" s="212"/>
      <c r="K20" s="169">
        <v>40</v>
      </c>
      <c r="L20" s="168"/>
      <c r="M20" s="165">
        <v>122.17</v>
      </c>
      <c r="N20" s="169">
        <v>40</v>
      </c>
      <c r="O20" s="167"/>
      <c r="P20" s="318" t="e">
        <f>K20-($Q$5-1250)</f>
        <v>#REF!</v>
      </c>
      <c r="Q20" s="169">
        <v>32.5</v>
      </c>
      <c r="R20" s="169">
        <v>700</v>
      </c>
      <c r="S20" s="271">
        <v>705.31</v>
      </c>
      <c r="T20" s="271">
        <v>566.49</v>
      </c>
      <c r="U20" s="169">
        <v>25.54</v>
      </c>
      <c r="V20" s="287">
        <f>SUM($E20:$H20,$M20,$N20,$Q20,$R20,$S20,$T20,$U20)</f>
        <v>4017.3500000000004</v>
      </c>
      <c r="W20" s="172">
        <f>$V20+$C20</f>
        <v>4825.25</v>
      </c>
      <c r="X20" s="172" t="e">
        <f>MAX($X$18:$Y$18) + IF($B$2="mil",1,0.0254)*DDR2Specs!$E$6</f>
        <v>#REF!</v>
      </c>
      <c r="Y20" s="172" t="e">
        <f>MIN($X$18:$Y$18) + IF($B$2="mil",1,0.0254)*DDR2Specs!$F$6</f>
        <v>#REF!</v>
      </c>
      <c r="Z20" s="173" t="e">
        <f>IF($W20&lt;$X20,$X20-$W20,"Pass")</f>
        <v>#REF!</v>
      </c>
      <c r="AA20" s="174" t="e">
        <f>IF($W20&gt;$Y20,$W20-$Y20,"Pass")</f>
        <v>#REF!</v>
      </c>
      <c r="AB20" s="175" t="e">
        <f>IF($E20&lt;=IF($B$2="mil",1,0.0254)*35,"Pass",IF($B$2="mil",1,0.0254)*35-$E20)</f>
        <v>#REF!</v>
      </c>
      <c r="AC20" s="176" t="e">
        <f>IF($F20&lt;=IF($B$2="mil",1,0.0254)*500,"Pass",IF($B$2="mil",1,0.0254)*500-$F20)</f>
        <v>#REF!</v>
      </c>
      <c r="AD20" s="176" t="e">
        <f>IF($H20&lt;=IF($B$2="mil",1,0.0254)*500,"Pass",IF($B$2="mil",1,0.0254)*500-$H20)</f>
        <v>#REF!</v>
      </c>
      <c r="AE20" s="176" t="e">
        <f>IF($I20&lt;=IF($B$2="mil",1,0.0254)*1000,"Pass",IF($B$2="mil",1,0.0254)*1000-$I20)</f>
        <v>#REF!</v>
      </c>
      <c r="AF20" s="176" t="e">
        <f ca="1">CheckLength2(1150,I20,K20,0)</f>
        <v>#NAME?</v>
      </c>
      <c r="AG20" s="176" t="e">
        <f>IF(M20&lt;=IF($B$2="mil",1,0.0254)*125,"Pass",IF($B$2="mil",1,0.0254)*125-M20)</f>
        <v>#REF!</v>
      </c>
      <c r="AH20" s="176" t="e">
        <f>IF(Q20&lt;=IF($B$2="mil",1,0.0254)*125,"Pass",IF($B$2="mil",1,0.0254)*125-Q20)</f>
        <v>#REF!</v>
      </c>
      <c r="AI20" s="176" t="e">
        <f>IF(R20&lt;=IF($B$2="mil",1,0.0254)*1000,"Pass",IF($B$2="mil",1,0.0254)*1000-R20)</f>
        <v>#REF!</v>
      </c>
      <c r="AJ20" s="176" t="e">
        <f>IF(S20&lt;=IF($B$2="mil",1,0.0254)*750,"Pass",IF($B$2="mil",1,0.0254)*750-S20)</f>
        <v>#REF!</v>
      </c>
      <c r="AK20" s="176" t="e">
        <f>IF(MAX(S20,T44)-MIN(S20,T44)&lt;=IF($B$2="mil",1,0.0254)*50,"Pass",MAX(S20,T44)-MIN(S20,T44)-IF($B$2="mil",1,0.0254)*50)</f>
        <v>#REF!</v>
      </c>
      <c r="AL20" s="176" t="e">
        <f>IF(T20&lt;=IF($B$2="mil",1,0.0254)*1250,"Pass",IF($B$2="mil",1,0.0254)*1250-T20)</f>
        <v>#REF!</v>
      </c>
      <c r="AM20" s="176" t="e">
        <f>IF(MAX(T20,T56)-MIN(T20,T56)&lt;=IF($B$2="mil",1,0.0254)*50,"Pass",MAX(T20,T56)-MIN(T20,T56)-IF($B$2="mil",1,0.0254)*50)</f>
        <v>#REF!</v>
      </c>
      <c r="AN20" s="176" t="e">
        <f ca="1">CheckLength2(1400,T20,U20,0)</f>
        <v>#NAME?</v>
      </c>
      <c r="AO20" s="176" t="e">
        <f>IF(AND($V20&gt;=IF($B$2="mil",1,0.0254)*500, $V20&lt;=IF($B$2="mil",1,0.0254)*7500),"Pass",IF($B$2="mil",1,0.0254)*7500-$V20)</f>
        <v>#REF!</v>
      </c>
      <c r="AP20" s="238" t="e">
        <f>IF(AND($W20&gt;=IF($B$2="mil",1,0.0254)*500, $W20&lt;=IF($B$2="mil",1,0.0254)*8000),"Pass",IF($B$2="mil",1,0.0254)*8000-$W20)</f>
        <v>#REF!</v>
      </c>
      <c r="AQ20" s="4" t="e">
        <f ca="1">IF(AND(Z20="Pass",AA20="Pass",AB20="Pass",AC20="Pass",AD20="Pass",AE20="Pass",AF20="Pass",AG20="Pass",AH20="Pass",AI20="Pass",AJ20="Pass",AK20="Pass",AL20="Pass",AM20="Pass",AN20="Pass",AO20="Pass",AP20="Pass"),"Pass","Fail")</f>
        <v>#REF!</v>
      </c>
      <c r="AR20" s="4" t="e">
        <f ca="1">IF(AND(AQ20="Pass",AQ21="Pass",AQ22="Pass",AQ32="Pass",AQ33="Pass",AQ34="Pass",AQ44="Pass",AQ45="Pass",AQ46="Pass",AQ56="Pass",AQ57="Pass",AQ58="Pass"),"Pass","Fail")</f>
        <v>#REF!</v>
      </c>
    </row>
    <row r="21" spans="1:45" s="4" customFormat="1" x14ac:dyDescent="0.2">
      <c r="A21" s="161" t="s">
        <v>75</v>
      </c>
      <c r="B21" s="162" t="s">
        <v>378</v>
      </c>
      <c r="C21" s="163">
        <v>369</v>
      </c>
      <c r="D21" s="164"/>
      <c r="E21" s="199">
        <v>29.7</v>
      </c>
      <c r="F21" s="165">
        <v>0</v>
      </c>
      <c r="G21" s="271">
        <v>1850.62</v>
      </c>
      <c r="H21" s="165">
        <v>0</v>
      </c>
      <c r="I21" s="165">
        <v>0</v>
      </c>
      <c r="J21" s="212"/>
      <c r="K21" s="165">
        <v>32.5</v>
      </c>
      <c r="L21" s="168"/>
      <c r="M21" s="165">
        <v>32.5</v>
      </c>
      <c r="N21" s="165">
        <v>40</v>
      </c>
      <c r="O21" s="167"/>
      <c r="P21" s="318" t="e">
        <f>K21-($Q$5-1250)</f>
        <v>#REF!</v>
      </c>
      <c r="Q21" s="169">
        <v>40.5</v>
      </c>
      <c r="R21" s="169">
        <v>700</v>
      </c>
      <c r="S21" s="271">
        <v>668.9</v>
      </c>
      <c r="T21" s="271">
        <v>554.57000000000005</v>
      </c>
      <c r="U21" s="169">
        <v>31.52</v>
      </c>
      <c r="V21" s="287">
        <f>SUM($E21:$H21,$M21,$N21,$Q21,$R21,$S21,$T21,$U21)</f>
        <v>3948.31</v>
      </c>
      <c r="W21" s="172">
        <f>$V21+$C21</f>
        <v>4317.3099999999995</v>
      </c>
      <c r="X21" s="172" t="e">
        <f>MAX($X$18:$Y$18) + IF($B$2="mil",1,0.0254)*DDR2Specs!$E$6</f>
        <v>#REF!</v>
      </c>
      <c r="Y21" s="172" t="e">
        <f>MIN($X$18:$Y$18) + IF($B$2="mil",1,0.0254)*DDR2Specs!$F$6</f>
        <v>#REF!</v>
      </c>
      <c r="Z21" s="173" t="e">
        <f>IF($W21&lt;$X21,$X21-$W21,"Pass")</f>
        <v>#REF!</v>
      </c>
      <c r="AA21" s="174" t="e">
        <f>IF($W21&gt;$Y21,$W21-$Y21,"Pass")</f>
        <v>#REF!</v>
      </c>
      <c r="AB21" s="175" t="e">
        <f>IF($E21&lt;=IF($B$2="mil",1,0.0254)*35,"Pass",IF($B$2="mil",1,0.0254)*35-$E21)</f>
        <v>#REF!</v>
      </c>
      <c r="AC21" s="176" t="e">
        <f>IF($F21&lt;=IF($B$2="mil",1,0.0254)*500,"Pass",IF($B$2="mil",1,0.0254)*500-$F21)</f>
        <v>#REF!</v>
      </c>
      <c r="AD21" s="176" t="e">
        <f>IF($H21&lt;=IF($B$2="mil",1,0.0254)*500,"Pass",IF($B$2="mil",1,0.0254)*500-$H21)</f>
        <v>#REF!</v>
      </c>
      <c r="AE21" s="176" t="e">
        <f>IF($I21&lt;=IF($B$2="mil",1,0.0254)*1000,"Pass",IF($B$2="mil",1,0.0254)*1000-$I21)</f>
        <v>#REF!</v>
      </c>
      <c r="AF21" s="176" t="e">
        <f ca="1">CheckLength2(1150,I21,K21,0)</f>
        <v>#NAME?</v>
      </c>
      <c r="AG21" s="176" t="e">
        <f>IF(M21&lt;=IF($B$2="mil",1,0.0254)*125,"Pass",IF($B$2="mil",1,0.0254)*125-M21)</f>
        <v>#REF!</v>
      </c>
      <c r="AH21" s="176" t="e">
        <f>IF(Q21&lt;=IF($B$2="mil",1,0.0254)*125,"Pass",IF($B$2="mil",1,0.0254)*125-Q21)</f>
        <v>#REF!</v>
      </c>
      <c r="AI21" s="176" t="e">
        <f>IF(R21&lt;=IF($B$2="mil",1,0.0254)*1000,"Pass",IF($B$2="mil",1,0.0254)*1000-R21)</f>
        <v>#REF!</v>
      </c>
      <c r="AJ21" s="176" t="e">
        <f>IF(S21&lt;=IF($B$2="mil",1,0.0254)*750,"Pass",IF($B$2="mil",1,0.0254)*750-S21)</f>
        <v>#REF!</v>
      </c>
      <c r="AK21" s="176" t="e">
        <f>IF(MAX(S21,T45)-MIN(S21,T45)&lt;=IF($B$2="mil",1,0.0254)*50,"Pass",MAX(S21,T45)-MIN(S21,T45)-IF($B$2="mil",1,0.0254)*50)</f>
        <v>#REF!</v>
      </c>
      <c r="AL21" s="176" t="e">
        <f>IF(T21&lt;=IF($B$2="mil",1,0.0254)*1250,"Pass",IF($B$2="mil",1,0.0254)*1250-T21)</f>
        <v>#REF!</v>
      </c>
      <c r="AM21" s="176" t="e">
        <f>IF(MAX(T21,T57)-MIN(T21,T57)&lt;=IF($B$2="mil",1,0.0254)*50,"Pass",MAX(T21,T57)-MIN(T21,T57)-IF($B$2="mil",1,0.0254)*50)</f>
        <v>#REF!</v>
      </c>
      <c r="AN21" s="176" t="e">
        <f ca="1">CheckLength2(1400,T21,U21,0)</f>
        <v>#NAME?</v>
      </c>
      <c r="AO21" s="176" t="e">
        <f>IF(AND($V21&gt;=IF($B$2="mil",1,0.0254)*500, $V21&lt;=IF($B$2="mil",1,0.0254)*7500),"Pass",IF($B$2="mil",1,0.0254)*7500-$V21)</f>
        <v>#REF!</v>
      </c>
      <c r="AP21" s="238" t="e">
        <f>IF(AND($W21&gt;=IF($B$2="mil",1,0.0254)*500, $W21&lt;=IF($B$2="mil",1,0.0254)*8000),"Pass",IF($B$2="mil",1,0.0254)*8000-$W21)</f>
        <v>#REF!</v>
      </c>
      <c r="AQ21" s="4" t="e">
        <f ca="1">IF(AND(Z21="Pass",AA21="Pass",AB21="Pass",AC21="Pass",AD21="Pass",AE21="Pass",AF21="Pass",AG21="Pass",AH21="Pass",AI21="Pass",AJ21="Pass",AK21="Pass",AL21="Pass",AM21="Pass",AN21="Pass",AO21="Pass",AP21="Pass"),"Pass","Fail")</f>
        <v>#REF!</v>
      </c>
    </row>
    <row r="22" spans="1:45" s="4" customFormat="1" x14ac:dyDescent="0.2">
      <c r="A22" s="161" t="s">
        <v>77</v>
      </c>
      <c r="B22" s="162" t="s">
        <v>382</v>
      </c>
      <c r="C22" s="163">
        <v>262.2</v>
      </c>
      <c r="D22" s="164"/>
      <c r="E22" s="199">
        <v>29.7</v>
      </c>
      <c r="F22" s="165">
        <v>0</v>
      </c>
      <c r="G22" s="271">
        <v>1702.82</v>
      </c>
      <c r="H22" s="165">
        <v>0</v>
      </c>
      <c r="I22" s="165">
        <v>0</v>
      </c>
      <c r="J22" s="212"/>
      <c r="K22" s="165">
        <v>40</v>
      </c>
      <c r="L22" s="168"/>
      <c r="M22" s="165">
        <v>91.63</v>
      </c>
      <c r="N22" s="165">
        <v>40</v>
      </c>
      <c r="O22" s="167"/>
      <c r="P22" s="318" t="e">
        <f>K22-($Q$5-1250)</f>
        <v>#REF!</v>
      </c>
      <c r="Q22" s="169">
        <v>70.510000000000005</v>
      </c>
      <c r="R22" s="169">
        <v>700</v>
      </c>
      <c r="S22" s="271">
        <v>728.33</v>
      </c>
      <c r="T22" s="271">
        <v>496.08</v>
      </c>
      <c r="U22" s="169">
        <v>76.06</v>
      </c>
      <c r="V22" s="287">
        <f>SUM($E22:$H22,$M22,$N22,$Q22,$R22,$S22,$T22,$U22)</f>
        <v>3935.1299999999997</v>
      </c>
      <c r="W22" s="172">
        <f>$V22+$C22</f>
        <v>4197.33</v>
      </c>
      <c r="X22" s="172" t="e">
        <f>MAX($X$18:$Y$18) + IF($B$2="mil",1,0.0254)*DDR2Specs!$E$6</f>
        <v>#REF!</v>
      </c>
      <c r="Y22" s="172" t="e">
        <f>MIN($X$18:$Y$18) + IF($B$2="mil",1,0.0254)*DDR2Specs!$F$6</f>
        <v>#REF!</v>
      </c>
      <c r="Z22" s="173" t="e">
        <f>IF($W22&lt;$X22,$X22-$W22,"Pass")</f>
        <v>#REF!</v>
      </c>
      <c r="AA22" s="174" t="e">
        <f>IF($W22&gt;$Y22,$W22-$Y22,"Pass")</f>
        <v>#REF!</v>
      </c>
      <c r="AB22" s="175" t="e">
        <f>IF($E22&lt;=IF($B$2="mil",1,0.0254)*35,"Pass",IF($B$2="mil",1,0.0254)*35-$E22)</f>
        <v>#REF!</v>
      </c>
      <c r="AC22" s="176" t="e">
        <f>IF($F22&lt;=IF($B$2="mil",1,0.0254)*500,"Pass",IF($B$2="mil",1,0.0254)*500-$F22)</f>
        <v>#REF!</v>
      </c>
      <c r="AD22" s="176" t="e">
        <f>IF($H22&lt;=IF($B$2="mil",1,0.0254)*500,"Pass",IF($B$2="mil",1,0.0254)*500-$H22)</f>
        <v>#REF!</v>
      </c>
      <c r="AE22" s="176" t="e">
        <f>IF($I22&lt;=IF($B$2="mil",1,0.0254)*1000,"Pass",IF($B$2="mil",1,0.0254)*1000-$I22)</f>
        <v>#REF!</v>
      </c>
      <c r="AF22" s="176" t="e">
        <f ca="1">CheckLength2(1150,I22,K22,0)</f>
        <v>#NAME?</v>
      </c>
      <c r="AG22" s="176" t="e">
        <f>IF(M22&lt;=IF($B$2="mil",1,0.0254)*125,"Pass",IF($B$2="mil",1,0.0254)*125-M22)</f>
        <v>#REF!</v>
      </c>
      <c r="AH22" s="176" t="e">
        <f>IF(Q22&lt;=IF($B$2="mil",1,0.0254)*125,"Pass",IF($B$2="mil",1,0.0254)*125-Q22)</f>
        <v>#REF!</v>
      </c>
      <c r="AI22" s="176" t="e">
        <f>IF(R22&lt;=IF($B$2="mil",1,0.0254)*1000,"Pass",IF($B$2="mil",1,0.0254)*1000-R22)</f>
        <v>#REF!</v>
      </c>
      <c r="AJ22" s="176" t="e">
        <f>IF(S22&lt;=IF($B$2="mil",1,0.0254)*750,"Pass",IF($B$2="mil",1,0.0254)*750-S22)</f>
        <v>#REF!</v>
      </c>
      <c r="AK22" s="176" t="e">
        <f>IF(MAX(S22,T46)-MIN(S22,T46)&lt;=IF($B$2="mil",1,0.0254)*50,"Pass",MAX(S22,T46)-MIN(S22,T46)-IF($B$2="mil",1,0.0254)*50)</f>
        <v>#REF!</v>
      </c>
      <c r="AL22" s="176" t="e">
        <f>IF(T22&lt;=IF($B$2="mil",1,0.0254)*1250,"Pass",IF($B$2="mil",1,0.0254)*1250-T22)</f>
        <v>#REF!</v>
      </c>
      <c r="AM22" s="176" t="e">
        <f>IF(MAX(T22,T58)-MIN(T22,T58)&lt;=IF($B$2="mil",1,0.0254)*50,"Pass",MAX(T22,T58)-MIN(T22,T58)-IF($B$2="mil",1,0.0254)*50)</f>
        <v>#REF!</v>
      </c>
      <c r="AN22" s="176" t="e">
        <f ca="1">CheckLength2(1400,T22,U22,0)</f>
        <v>#NAME?</v>
      </c>
      <c r="AO22" s="176" t="e">
        <f>IF(AND($V22&gt;=IF($B$2="mil",1,0.0254)*500, $V22&lt;=IF($B$2="mil",1,0.0254)*7500),"Pass",IF($B$2="mil",1,0.0254)*7500-$V22)</f>
        <v>#REF!</v>
      </c>
      <c r="AP22" s="238" t="e">
        <f>IF(AND($W22&gt;=IF($B$2="mil",1,0.0254)*500, $W22&lt;=IF($B$2="mil",1,0.0254)*8000),"Pass",IF($B$2="mil",1,0.0254)*8000-$W22)</f>
        <v>#REF!</v>
      </c>
      <c r="AQ22" s="4" t="e">
        <f ca="1">IF(AND(Z22="Pass",AA22="Pass",AB22="Pass",AC22="Pass",AD22="Pass",AE22="Pass",AF22="Pass",AG22="Pass",AH22="Pass",AI22="Pass",AJ22="Pass",AK22="Pass",AL22="Pass",AM22="Pass",AN22="Pass",AO22="Pass",AP22="Pass"),"Pass","Fail")</f>
        <v>#REF!</v>
      </c>
    </row>
    <row r="23" spans="1:45" s="133" customFormat="1" ht="33.75" x14ac:dyDescent="0.2">
      <c r="A23" s="123" t="s">
        <v>79</v>
      </c>
      <c r="B23" s="123" t="s">
        <v>62</v>
      </c>
      <c r="C23" s="123" t="s">
        <v>70</v>
      </c>
      <c r="D23" s="130"/>
      <c r="E23" s="127" t="e">
        <f>"Escape
Length L0
 ["&amp;$B$2&amp;"]"</f>
        <v>#REF!</v>
      </c>
      <c r="F23" s="127" t="e">
        <f>"Breakout
Length L1
["&amp; $B$2&amp;"]"</f>
        <v>#REF!</v>
      </c>
      <c r="G23" s="127" t="e">
        <f>"Main
Length L2
[" &amp;$B$2&amp; " ]"</f>
        <v>#REF!</v>
      </c>
      <c r="H23" s="127" t="e">
        <f>"Breakin
Length S1  
[" &amp;$B$2&amp;"]"</f>
        <v>#REF!</v>
      </c>
      <c r="I23" s="130" t="e">
        <f>"Via-to-via (SODIMM-to-Rt) L3 [" &amp;$B$2&amp;"]"</f>
        <v>#REF!</v>
      </c>
      <c r="J23" s="129"/>
      <c r="K23" s="130" t="e">
        <f>"Via-to-Rt 
L4 [" &amp;$B$2&amp;"]"</f>
        <v>#REF!</v>
      </c>
      <c r="L23" s="129"/>
      <c r="M23" s="129" t="e">
        <f>"Break-in to Rs L5 ["&amp;$B$2&amp;"]"</f>
        <v>#REF!</v>
      </c>
      <c r="N23" s="123" t="e">
        <f>"Rs Length ["&amp;$B$2&amp;"]"</f>
        <v>#REF!</v>
      </c>
      <c r="O23" s="130"/>
      <c r="P23" s="131" t="s">
        <v>71</v>
      </c>
      <c r="Q23" s="123" t="e">
        <f>"Breakout from Rs L6 ["&amp;$B$2&amp;"]"</f>
        <v>#REF!</v>
      </c>
      <c r="R23" s="123" t="e">
        <f>"Trace L7 ["&amp;$B$2&amp;"]"</f>
        <v>#REF!</v>
      </c>
      <c r="S23" s="123" t="e">
        <f>"Trace L8-1 ["&amp;$B$2&amp;"]"</f>
        <v>#REF!</v>
      </c>
      <c r="T23" s="123" t="e">
        <f>"Trace L9-1 ["&amp;$B$2&amp;"]"</f>
        <v>#REF!</v>
      </c>
      <c r="U23" s="123" t="e">
        <f>"Trace L10-1 ["&amp;$B$2&amp;"]"</f>
        <v>#REF!</v>
      </c>
      <c r="V23" s="123" t="e">
        <f>"Total MB Length to U5 (L0+L1+L2+S1+L5+Rs+L6+L7+L8-1+L9-1+L10-1) ["&amp;$B$2&amp;"]"</f>
        <v>#REF!</v>
      </c>
      <c r="W23" s="123" t="e">
        <f>"Total Pad to Pin U5 (P1+L0+L1+L2+S1+L5+Rs+L6+L7+L8-1+L9-1+L10-1) ["&amp;$B$2&amp;"]"</f>
        <v>#REF!</v>
      </c>
      <c r="X23" s="129" t="e">
        <f>"Target Min Length to U5
["&amp;$B$2&amp;"]"</f>
        <v>#REF!</v>
      </c>
      <c r="Y23" s="129" t="e">
        <f>"Target Max Length  to U5 
["&amp;$B$2&amp;"]"</f>
        <v>#REF!</v>
      </c>
      <c r="Z23" s="359" t="e">
        <f>"Routed Too Short  to U5 [" &amp;$B$2&amp;"]"</f>
        <v>#REF!</v>
      </c>
      <c r="AA23" s="129" t="e">
        <f>"Routed Too Long  to U5 [" &amp;$B$2&amp;"]"</f>
        <v>#REF!</v>
      </c>
      <c r="AB23" s="132" t="e">
        <f>"L0 Length Test (&lt;=" &amp; IF($B$2="mil",1,0.0254)*35&amp;$B$2&amp;")"</f>
        <v>#REF!</v>
      </c>
      <c r="AC23" s="132" t="e">
        <f>"L1 Length Test (&lt;=" &amp; IF($B$2="mil",1,0.0254)*500&amp;$B$2&amp;")"</f>
        <v>#REF!</v>
      </c>
      <c r="AD23" s="132" t="e">
        <f>"S1 Length Test (&lt;=" &amp; IF($B$2="mil",1,0.0254)*500 &amp;$B$2&amp;")"</f>
        <v>#REF!</v>
      </c>
      <c r="AE23" s="132" t="e">
        <f>"L3 Length Test (&lt;=" &amp; IF($B$2="mil",1,0.0254)*1000&amp;$B$2&amp;")"</f>
        <v>#REF!</v>
      </c>
      <c r="AF23" s="132" t="e">
        <f>"L4 Length Test (&lt;=" &amp; IF($B$2="mil",1,0.0254)*150&amp;$B$2&amp;") or (L3+L4&lt;= "&amp;IF($B$2="mil",1,0.0254)*1150&amp;$B$2&amp;")"</f>
        <v>#REF!</v>
      </c>
      <c r="AG23" s="132" t="e">
        <f>"L5 Length Test (&lt;=" &amp; IF($B$2="mil",1,0.0254)*125&amp;$B$2&amp;")"</f>
        <v>#REF!</v>
      </c>
      <c r="AH23" s="132" t="e">
        <f>"L6 Length Test (&lt;=" &amp; IF($B$2="mil",1,0.0254)*125&amp;$B$2&amp;")"</f>
        <v>#REF!</v>
      </c>
      <c r="AI23" s="132" t="e">
        <f>"L7 Length Test (&lt;=" &amp; IF($B$2="mil",1,0.0254)*1000&amp;$B$2&amp;")"</f>
        <v>#REF!</v>
      </c>
      <c r="AJ23" s="132" t="e">
        <f>"L8-1 Length Test (&lt;=" &amp; IF($B$2="mil",1,0.0254)*750&amp;$B$2&amp;")"</f>
        <v>#REF!</v>
      </c>
      <c r="AK23" s="132" t="e">
        <f>"Diff L8-1 &amp; L8-2 (&lt;="&amp;IF($B$2="mil",1,0.0254)*50&amp;$B$2&amp;")"</f>
        <v>#REF!</v>
      </c>
      <c r="AL23" s="132" t="e">
        <f>"L9-1 Length Test (&lt;=" &amp; IF($B$2="mil",1,0.0254)*1250&amp;$B$2&amp;")"</f>
        <v>#REF!</v>
      </c>
      <c r="AM23" s="132" t="e">
        <f>"Diff L9-1 &amp; L9-2 (&lt;="&amp;IF($B$2="mil",1,0.0254)*50&amp;$B$2&amp;")"</f>
        <v>#REF!</v>
      </c>
      <c r="AN23" s="132" t="e">
        <f>"L10-1 Length Test (&lt;=" &amp; IF($B$2="mil",1,0.0254)*150&amp;$B$2&amp;") or (L9-1+L10-1&lt;= "&amp;IF($B$2="mil",1,0.0254)*1400&amp;$B$2&amp;")"</f>
        <v>#REF!</v>
      </c>
      <c r="AO23" s="129" t="e">
        <f>"Total Length to U1 (L0+L1+L2+S1+L5+Rs+L6+L7+L8-1+L9-1+L10-1) Test
 ("&amp;IF($B$2="mil",1,0.0254)*500&amp;"-"&amp;IF($B$2="mil",1,0.0254)*7500&amp;IF($B$2="mil","mil","mm")&amp;")"</f>
        <v>#REF!</v>
      </c>
      <c r="AP23" s="373" t="e">
        <f>"Total Length to U1 (P1+L0+L1+L2+S1+L5+Rs+L6+L7+L8-1+L9-1+L10-1) Test
 (&lt;="&amp;IF($B$2="mil",1,25.4)*8000&amp;IF($B$2="mil","mil","mm")&amp;")"</f>
        <v>#REF!</v>
      </c>
      <c r="AQ23" s="4"/>
    </row>
    <row r="24" spans="1:45" s="4" customFormat="1" ht="11.25" x14ac:dyDescent="0.2">
      <c r="A24" s="140" t="s">
        <v>67</v>
      </c>
      <c r="B24" s="141"/>
      <c r="C24" s="141"/>
      <c r="D24" s="142"/>
      <c r="E24" s="143"/>
      <c r="F24" s="196"/>
      <c r="G24" s="143"/>
      <c r="H24" s="143"/>
      <c r="I24" s="144"/>
      <c r="J24" s="144"/>
      <c r="K24" s="143"/>
      <c r="L24" s="144"/>
      <c r="M24" s="144"/>
      <c r="N24" s="143"/>
      <c r="O24" s="147"/>
      <c r="P24" s="148"/>
      <c r="Q24" s="143"/>
      <c r="R24" s="143"/>
      <c r="S24" s="143"/>
      <c r="T24" s="143"/>
      <c r="U24" s="143"/>
      <c r="V24" s="346"/>
      <c r="W24" s="210" t="s">
        <v>332</v>
      </c>
      <c r="X24" s="149" t="e">
        <f>MIN('DDR2 Clocks - 4L'!$O$7:$O$8)</f>
        <v>#REF!</v>
      </c>
      <c r="Y24" s="347" t="e">
        <f>MAX('DDR2 Clocks - 4L'!$O$7:$O$8)</f>
        <v>#REF!</v>
      </c>
      <c r="Z24" s="151"/>
      <c r="AA24" s="149"/>
      <c r="AB24" s="197"/>
      <c r="AC24" s="197"/>
      <c r="AD24" s="153"/>
      <c r="AE24" s="153"/>
      <c r="AF24" s="153"/>
      <c r="AG24" s="153"/>
      <c r="AH24" s="153"/>
      <c r="AI24" s="153"/>
      <c r="AJ24" s="153"/>
      <c r="AK24" s="153"/>
      <c r="AL24" s="153"/>
      <c r="AM24" s="153"/>
      <c r="AN24" s="153"/>
      <c r="AO24" s="153"/>
      <c r="AP24" s="154"/>
    </row>
    <row r="25" spans="1:45" s="4" customFormat="1" ht="11.25" x14ac:dyDescent="0.2">
      <c r="A25" s="134" t="s">
        <v>426</v>
      </c>
      <c r="B25" s="134"/>
      <c r="C25" s="134"/>
      <c r="D25" s="155"/>
      <c r="E25" s="156"/>
      <c r="F25" s="198"/>
      <c r="G25" s="156"/>
      <c r="H25" s="156"/>
      <c r="I25" s="157"/>
      <c r="J25" s="156"/>
      <c r="K25" s="157"/>
      <c r="L25" s="156"/>
      <c r="M25" s="157"/>
      <c r="N25" s="157"/>
      <c r="O25" s="288"/>
      <c r="P25" s="288"/>
      <c r="Q25" s="157"/>
      <c r="R25" s="157"/>
      <c r="S25" s="157"/>
      <c r="T25" s="157"/>
      <c r="U25" s="157"/>
      <c r="V25" s="158"/>
      <c r="W25" s="159"/>
      <c r="X25" s="159"/>
      <c r="Y25" s="160"/>
      <c r="Z25" s="160"/>
      <c r="AA25" s="159"/>
      <c r="AB25" s="187"/>
      <c r="AC25" s="159"/>
      <c r="AD25" s="159"/>
      <c r="AE25" s="159"/>
      <c r="AF25" s="159"/>
      <c r="AG25" s="159"/>
      <c r="AH25" s="159"/>
      <c r="AI25" s="159"/>
      <c r="AJ25" s="159"/>
      <c r="AK25" s="159"/>
      <c r="AL25" s="159"/>
      <c r="AM25" s="159"/>
      <c r="AN25" s="159"/>
      <c r="AO25" s="159"/>
      <c r="AP25" s="206"/>
    </row>
    <row r="26" spans="1:45" s="4" customFormat="1" x14ac:dyDescent="0.2">
      <c r="A26" s="161" t="s">
        <v>74</v>
      </c>
      <c r="B26" s="162" t="s">
        <v>376</v>
      </c>
      <c r="C26" s="177">
        <v>779</v>
      </c>
      <c r="D26" s="178"/>
      <c r="E26" s="199">
        <v>29.7</v>
      </c>
      <c r="F26" s="165">
        <v>0</v>
      </c>
      <c r="G26" s="271">
        <v>1795.64</v>
      </c>
      <c r="H26" s="165">
        <v>0</v>
      </c>
      <c r="I26" s="165">
        <v>0</v>
      </c>
      <c r="J26" s="212"/>
      <c r="K26" s="169">
        <v>40</v>
      </c>
      <c r="L26" s="168"/>
      <c r="M26" s="165">
        <v>122.17</v>
      </c>
      <c r="N26" s="169">
        <v>40</v>
      </c>
      <c r="O26" s="167"/>
      <c r="P26" s="318" t="e">
        <f>K26-($Q$5-1250)</f>
        <v>#REF!</v>
      </c>
      <c r="Q26" s="169">
        <v>32.5</v>
      </c>
      <c r="R26" s="169">
        <v>700</v>
      </c>
      <c r="S26" s="271">
        <v>705.31</v>
      </c>
      <c r="T26" s="271">
        <v>566.49</v>
      </c>
      <c r="U26" s="169">
        <v>25.54</v>
      </c>
      <c r="V26" s="287">
        <f>SUM($E26:$H26,$M26,$N26,$Q26,$R26,$S26,$T26,$U26)</f>
        <v>4017.3500000000004</v>
      </c>
      <c r="W26" s="172">
        <f>$V26+$C26</f>
        <v>4796.3500000000004</v>
      </c>
      <c r="X26" s="172" t="e">
        <f>MAX($X$18:$Y$18) + IF($B$2="mil",1,0.0254)*DDR2Specs!$E$6</f>
        <v>#REF!</v>
      </c>
      <c r="Y26" s="172" t="e">
        <f>MIN($X$18:$Y$18) + IF($B$2="mil",1,0.0254)*DDR2Specs!$F$6</f>
        <v>#REF!</v>
      </c>
      <c r="Z26" s="173" t="e">
        <f>IF($W26&lt;$X26,$X26-$W26,"Pass")</f>
        <v>#REF!</v>
      </c>
      <c r="AA26" s="174" t="e">
        <f>IF($W26&gt;$Y26,$W26-$Y26,"Pass")</f>
        <v>#REF!</v>
      </c>
      <c r="AB26" s="175" t="e">
        <f>IF($E26&lt;=IF($B$2="mil",1,0.0254)*35,"Pass",IF($B$2="mil",1,0.0254)*35-$E26)</f>
        <v>#REF!</v>
      </c>
      <c r="AC26" s="176" t="e">
        <f>IF($F26&lt;=IF($B$2="mil",1,0.0254)*500,"Pass",IF($B$2="mil",1,0.0254)*500-$F26)</f>
        <v>#REF!</v>
      </c>
      <c r="AD26" s="176" t="e">
        <f>IF($H26&lt;=IF($B$2="mil",1,0.0254)*500,"Pass",IF($B$2="mil",1,0.0254)*500-$H26)</f>
        <v>#REF!</v>
      </c>
      <c r="AE26" s="176" t="e">
        <f>IF($I26&lt;=IF($B$2="mil",1,0.0254)*1000,"Pass",IF($B$2="mil",1,0.0254)*1000-$I26)</f>
        <v>#REF!</v>
      </c>
      <c r="AF26" s="176" t="e">
        <f ca="1">CheckLength2(1150,I26,K26,0)</f>
        <v>#NAME?</v>
      </c>
      <c r="AG26" s="176" t="e">
        <f>IF(M26&lt;=IF($B$2="mil",1,0.0254)*125,"Pass",IF($B$2="mil",1,0.0254)*125-M26)</f>
        <v>#REF!</v>
      </c>
      <c r="AH26" s="176" t="e">
        <f>IF(Q26&lt;=IF($B$2="mil",1,0.0254)*125,"Pass",IF($B$2="mil",1,0.0254)*125-Q26)</f>
        <v>#REF!</v>
      </c>
      <c r="AI26" s="176" t="e">
        <f>IF(R26&lt;=IF($B$2="mil",1,0.0254)*1000,"Pass",IF($B$2="mil",1,0.0254)*1000-R26)</f>
        <v>#REF!</v>
      </c>
      <c r="AJ26" s="176" t="e">
        <f>IF(S26&lt;=IF($B$2="mil",1,0.0254)*750,"Pass",IF($B$2="mil",1,0.0254)*750-S26)</f>
        <v>#REF!</v>
      </c>
      <c r="AK26" s="176" t="e">
        <f>IF(MAX(S26,T50)-MIN(S26,T50)&lt;=IF($B$2="mil",1,0.0254)*50,"Pass",MAX(S26,T50)-MIN(S26,T50)-IF($B$2="mil",1,0.0254)*50)</f>
        <v>#REF!</v>
      </c>
      <c r="AL26" s="176" t="e">
        <f>IF(T26&lt;=IF($B$2="mil",1,0.0254)*1250,"Pass",IF($B$2="mil",1,0.0254)*1250-T26)</f>
        <v>#REF!</v>
      </c>
      <c r="AM26" s="176" t="e">
        <f>IF(MAX(T26,T62)-MIN(T26,T62)&lt;=IF($B$2="mil",1,0.0254)*50,"Pass",MAX(T26,T62)-MIN(T26,T62)-IF($B$2="mil",1,0.0254)*50)</f>
        <v>#REF!</v>
      </c>
      <c r="AN26" s="176" t="e">
        <f ca="1">CheckLength2(1400,T26,U26,0)</f>
        <v>#NAME?</v>
      </c>
      <c r="AO26" s="176" t="e">
        <f>IF(AND($V26&gt;=IF($B$2="mil",1,0.0254)*500, $V26&lt;=IF($B$2="mil",1,0.0254)*7500),"Pass",IF($B$2="mil",1,0.0254)*7500-$V26)</f>
        <v>#REF!</v>
      </c>
      <c r="AP26" s="238" t="e">
        <f>IF(AND($W26&gt;=IF($B$2="mil",1,0.0254)*500, $W26&lt;=IF($B$2="mil",1,0.0254)*8000),"Pass",IF($B$2="mil",1,0.0254)*8000-$W26)</f>
        <v>#REF!</v>
      </c>
      <c r="AQ26" s="4" t="e">
        <f ca="1">IF(AND(Z26="Pass",AA26="Pass",AB26="Pass",AC26="Pass",AD26="Pass",AE26="Pass",AF26="Pass",AG26="Pass",AH26="Pass",AI26="Pass",AJ26="Pass",AK26="Pass",AL26="Pass",AM26="Pass",AN26="Pass",AO26="Pass",AP26="Pass"),"Pass","Fail")</f>
        <v>#REF!</v>
      </c>
    </row>
    <row r="27" spans="1:45" s="4" customFormat="1" x14ac:dyDescent="0.2">
      <c r="A27" s="161" t="s">
        <v>76</v>
      </c>
      <c r="B27" s="214" t="s">
        <v>379</v>
      </c>
      <c r="C27" s="189">
        <v>267.2</v>
      </c>
      <c r="D27" s="190"/>
      <c r="E27" s="199">
        <v>29.7</v>
      </c>
      <c r="F27" s="165">
        <v>0</v>
      </c>
      <c r="G27" s="271">
        <v>1850.62</v>
      </c>
      <c r="H27" s="165">
        <v>0</v>
      </c>
      <c r="I27" s="165">
        <v>0</v>
      </c>
      <c r="J27" s="212"/>
      <c r="K27" s="165">
        <v>32.5</v>
      </c>
      <c r="L27" s="168"/>
      <c r="M27" s="165">
        <v>32.5</v>
      </c>
      <c r="N27" s="165">
        <v>40</v>
      </c>
      <c r="O27" s="167"/>
      <c r="P27" s="318" t="e">
        <f>K27-($Q$5-1250)</f>
        <v>#REF!</v>
      </c>
      <c r="Q27" s="169">
        <v>40.5</v>
      </c>
      <c r="R27" s="169">
        <v>700</v>
      </c>
      <c r="S27" s="271">
        <v>668.9</v>
      </c>
      <c r="T27" s="271">
        <v>554.57000000000005</v>
      </c>
      <c r="U27" s="169">
        <v>31.52</v>
      </c>
      <c r="V27" s="287">
        <f>SUM($E27:$H27,$M27,$N27,$Q27,$R27,$S27,$T27,$U27)</f>
        <v>3948.31</v>
      </c>
      <c r="W27" s="172">
        <f>$V27+$C27</f>
        <v>4215.51</v>
      </c>
      <c r="X27" s="172" t="e">
        <f>MAX($X$18:$Y$18) + IF($B$2="mil",1,0.0254)*DDR2Specs!$E$6</f>
        <v>#REF!</v>
      </c>
      <c r="Y27" s="172" t="e">
        <f>MIN($X$18:$Y$18) + IF($B$2="mil",1,0.0254)*DDR2Specs!$F$6</f>
        <v>#REF!</v>
      </c>
      <c r="Z27" s="173" t="e">
        <f>IF($W27&lt;$X27,$X27-$W27,"Pass")</f>
        <v>#REF!</v>
      </c>
      <c r="AA27" s="174" t="e">
        <f>IF($W27&gt;$Y27,$W27-$Y27,"Pass")</f>
        <v>#REF!</v>
      </c>
      <c r="AB27" s="175" t="e">
        <f>IF($E27&lt;=IF($B$2="mil",1,0.0254)*35,"Pass",IF($B$2="mil",1,0.0254)*35-$E27)</f>
        <v>#REF!</v>
      </c>
      <c r="AC27" s="176" t="e">
        <f>IF($F27&lt;=IF($B$2="mil",1,0.0254)*500,"Pass",IF($B$2="mil",1,0.0254)*500-$F27)</f>
        <v>#REF!</v>
      </c>
      <c r="AD27" s="176" t="e">
        <f>IF($H27&lt;=IF($B$2="mil",1,0.0254)*500,"Pass",IF($B$2="mil",1,0.0254)*500-$H27)</f>
        <v>#REF!</v>
      </c>
      <c r="AE27" s="176" t="e">
        <f>IF($I27&lt;=IF($B$2="mil",1,0.0254)*1000,"Pass",IF($B$2="mil",1,0.0254)*1000-$I27)</f>
        <v>#REF!</v>
      </c>
      <c r="AF27" s="176" t="e">
        <f ca="1">CheckLength2(1150,I27,K27,0)</f>
        <v>#NAME?</v>
      </c>
      <c r="AG27" s="176" t="e">
        <f>IF(M27&lt;=IF($B$2="mil",1,0.0254)*125,"Pass",IF($B$2="mil",1,0.0254)*125-M27)</f>
        <v>#REF!</v>
      </c>
      <c r="AH27" s="176" t="e">
        <f>IF(Q27&lt;=IF($B$2="mil",1,0.0254)*125,"Pass",IF($B$2="mil",1,0.0254)*125-Q27)</f>
        <v>#REF!</v>
      </c>
      <c r="AI27" s="176" t="e">
        <f>IF(R27&lt;=IF($B$2="mil",1,0.0254)*1000,"Pass",IF($B$2="mil",1,0.0254)*1000-R27)</f>
        <v>#REF!</v>
      </c>
      <c r="AJ27" s="176" t="e">
        <f>IF(S27&lt;=IF($B$2="mil",1,0.0254)*750,"Pass",IF($B$2="mil",1,0.0254)*750-S27)</f>
        <v>#REF!</v>
      </c>
      <c r="AK27" s="176" t="e">
        <f>IF(MAX(S27,T51)-MIN(S27,T51)&lt;=IF($B$2="mil",1,0.0254)*50,"Pass",MAX(S27,T51)-MIN(S27,T51)-IF($B$2="mil",1,0.0254)*50)</f>
        <v>#REF!</v>
      </c>
      <c r="AL27" s="176" t="e">
        <f>IF(T27&lt;=IF($B$2="mil",1,0.0254)*1250,"Pass",IF($B$2="mil",1,0.0254)*1250-T27)</f>
        <v>#REF!</v>
      </c>
      <c r="AM27" s="176" t="e">
        <f>IF(MAX(T27,T63)-MIN(T27,T63)&lt;=IF($B$2="mil",1,0.0254)*50,"Pass",MAX(T27,T63)-MIN(T27,T63)-IF($B$2="mil",1,0.0254)*50)</f>
        <v>#REF!</v>
      </c>
      <c r="AN27" s="176" t="e">
        <f ca="1">CheckLength2(1400,T27,U27,0)</f>
        <v>#NAME?</v>
      </c>
      <c r="AO27" s="176" t="e">
        <f>IF(AND($V27&gt;=IF($B$2="mil",1,0.0254)*500, $V27&lt;=IF($B$2="mil",1,0.0254)*7500),"Pass",IF($B$2="mil",1,0.0254)*7500-$V27)</f>
        <v>#REF!</v>
      </c>
      <c r="AP27" s="238" t="e">
        <f>IF(AND($W27&gt;=IF($B$2="mil",1,0.0254)*500, $W27&lt;=IF($B$2="mil",1,0.0254)*8000),"Pass",IF($B$2="mil",1,0.0254)*8000-$W27)</f>
        <v>#REF!</v>
      </c>
      <c r="AQ27" s="4" t="e">
        <f ca="1">IF(AND(Z27="Pass",AA27="Pass",AB27="Pass",AC27="Pass",AD27="Pass",AE27="Pass",AF27="Pass",AG27="Pass",AH27="Pass",AI27="Pass",AJ27="Pass",AK27="Pass",AL27="Pass",AM27="Pass",AN27="Pass",AO27="Pass",AP27="Pass"),"Pass","Fail")</f>
        <v>#REF!</v>
      </c>
    </row>
    <row r="28" spans="1:45" s="4" customFormat="1" x14ac:dyDescent="0.2">
      <c r="A28" s="161" t="s">
        <v>78</v>
      </c>
      <c r="B28" s="214" t="s">
        <v>383</v>
      </c>
      <c r="C28" s="177">
        <v>326.39999999999998</v>
      </c>
      <c r="D28" s="178"/>
      <c r="E28" s="199">
        <v>29.7</v>
      </c>
      <c r="F28" s="165">
        <v>0</v>
      </c>
      <c r="G28" s="271">
        <v>1702.82</v>
      </c>
      <c r="H28" s="165">
        <v>0</v>
      </c>
      <c r="I28" s="165">
        <v>0</v>
      </c>
      <c r="J28" s="212"/>
      <c r="K28" s="165">
        <v>40</v>
      </c>
      <c r="L28" s="168"/>
      <c r="M28" s="165">
        <v>91.63</v>
      </c>
      <c r="N28" s="165">
        <v>40</v>
      </c>
      <c r="O28" s="167"/>
      <c r="P28" s="318" t="e">
        <f>K28-($Q$5-1250)</f>
        <v>#REF!</v>
      </c>
      <c r="Q28" s="169">
        <v>70.510000000000005</v>
      </c>
      <c r="R28" s="169">
        <v>700</v>
      </c>
      <c r="S28" s="271">
        <v>728.33</v>
      </c>
      <c r="T28" s="271">
        <v>496.08</v>
      </c>
      <c r="U28" s="169">
        <v>76.06</v>
      </c>
      <c r="V28" s="287">
        <f>SUM($E28:$H28,$M28,$N28,$Q28,$R28,$S28,$T28,$U28)</f>
        <v>3935.1299999999997</v>
      </c>
      <c r="W28" s="172">
        <f>$V28+$C28</f>
        <v>4261.53</v>
      </c>
      <c r="X28" s="172" t="e">
        <f>MAX($X$18:$Y$18) + IF($B$2="mil",1,0.0254)*DDR2Specs!$E$6</f>
        <v>#REF!</v>
      </c>
      <c r="Y28" s="172" t="e">
        <f>MIN($X$18:$Y$18) + IF($B$2="mil",1,0.0254)*DDR2Specs!$F$6</f>
        <v>#REF!</v>
      </c>
      <c r="Z28" s="173" t="e">
        <f>IF($W28&lt;$X28,$X28-$W28,"Pass")</f>
        <v>#REF!</v>
      </c>
      <c r="AA28" s="174" t="e">
        <f>IF($W28&gt;$Y28,$W28-$Y28,"Pass")</f>
        <v>#REF!</v>
      </c>
      <c r="AB28" s="175" t="e">
        <f>IF($E28&lt;=IF($B$2="mil",1,0.0254)*35,"Pass",IF($B$2="mil",1,0.0254)*35-$E28)</f>
        <v>#REF!</v>
      </c>
      <c r="AC28" s="176" t="e">
        <f>IF($F28&lt;=IF($B$2="mil",1,0.0254)*500,"Pass",IF($B$2="mil",1,0.0254)*500-$F28)</f>
        <v>#REF!</v>
      </c>
      <c r="AD28" s="176" t="e">
        <f>IF($H28&lt;=IF($B$2="mil",1,0.0254)*500,"Pass",IF($B$2="mil",1,0.0254)*500-$H28)</f>
        <v>#REF!</v>
      </c>
      <c r="AE28" s="176" t="e">
        <f>IF($I28&lt;=IF($B$2="mil",1,0.0254)*1000,"Pass",IF($B$2="mil",1,0.0254)*1000-$I28)</f>
        <v>#REF!</v>
      </c>
      <c r="AF28" s="176" t="e">
        <f ca="1">CheckLength2(1150,I28,K28,0)</f>
        <v>#NAME?</v>
      </c>
      <c r="AG28" s="176" t="e">
        <f>IF(M28&lt;=IF($B$2="mil",1,0.0254)*125,"Pass",IF($B$2="mil",1,0.0254)*125-M28)</f>
        <v>#REF!</v>
      </c>
      <c r="AH28" s="176" t="e">
        <f>IF(Q28&lt;=IF($B$2="mil",1,0.0254)*125,"Pass",IF($B$2="mil",1,0.0254)*125-Q28)</f>
        <v>#REF!</v>
      </c>
      <c r="AI28" s="176" t="e">
        <f>IF(R28&lt;=IF($B$2="mil",1,0.0254)*1000,"Pass",IF($B$2="mil",1,0.0254)*1000-R28)</f>
        <v>#REF!</v>
      </c>
      <c r="AJ28" s="176" t="e">
        <f>IF(S28&lt;=IF($B$2="mil",1,0.0254)*750,"Pass",IF($B$2="mil",1,0.0254)*750-S28)</f>
        <v>#REF!</v>
      </c>
      <c r="AK28" s="176" t="e">
        <f>IF(MAX(S28,T52)-MIN(S28,T52)&lt;=IF($B$2="mil",1,0.0254)*50,"Pass",MAX(S28,T52)-MIN(S28,T52)-IF($B$2="mil",1,0.0254)*50)</f>
        <v>#REF!</v>
      </c>
      <c r="AL28" s="176" t="e">
        <f>IF(T28&lt;=IF($B$2="mil",1,0.0254)*1250,"Pass",IF($B$2="mil",1,0.0254)*1250-T28)</f>
        <v>#REF!</v>
      </c>
      <c r="AM28" s="176" t="e">
        <f>IF(MAX(T28,T64)-MIN(T28,T64)&lt;=IF($B$2="mil",1,0.0254)*50,"Pass",MAX(T28,T64)-MIN(T28,T64)-IF($B$2="mil",1,0.0254)*50)</f>
        <v>#REF!</v>
      </c>
      <c r="AN28" s="176" t="e">
        <f ca="1">CheckLength2(1400,T28,U28,0)</f>
        <v>#NAME?</v>
      </c>
      <c r="AO28" s="176" t="e">
        <f>IF(AND($V28&gt;=IF($B$2="mil",1,0.0254)*500, $V28&lt;=IF($B$2="mil",1,0.0254)*7500),"Pass",IF($B$2="mil",1,0.0254)*7500-$V28)</f>
        <v>#REF!</v>
      </c>
      <c r="AP28" s="238" t="e">
        <f>IF(AND($W28&gt;=IF($B$2="mil",1,0.0254)*500, $W28&lt;=IF($B$2="mil",1,0.0254)*8000),"Pass",IF($B$2="mil",1,0.0254)*8000-$W28)</f>
        <v>#REF!</v>
      </c>
      <c r="AQ28" s="4" t="e">
        <f ca="1">IF(AND(Z28="Pass",AA28="Pass",AB28="Pass",AC28="Pass",AD28="Pass",AE28="Pass",AF28="Pass",AG28="Pass",AH28="Pass",AI28="Pass",AJ28="Pass",AK28="Pass",AL28="Pass",AM28="Pass",AN28="Pass",AO28="Pass",AP28="Pass"),"Pass","Fail")</f>
        <v>#REF!</v>
      </c>
    </row>
    <row r="29" spans="1:45" s="4" customFormat="1" ht="33.75" x14ac:dyDescent="0.2">
      <c r="A29" s="348"/>
      <c r="B29" s="348"/>
      <c r="C29" s="204"/>
      <c r="D29" s="351"/>
      <c r="F29" s="21"/>
      <c r="G29" s="352"/>
      <c r="H29" s="21"/>
      <c r="I29" s="21"/>
      <c r="J29" s="353"/>
      <c r="K29" s="21"/>
      <c r="L29" s="354"/>
      <c r="M29" s="21"/>
      <c r="N29" s="21"/>
      <c r="O29" s="353"/>
      <c r="P29" s="353"/>
      <c r="Q29" s="342"/>
      <c r="R29" s="342"/>
      <c r="S29" s="352"/>
      <c r="T29" s="192" t="s">
        <v>79</v>
      </c>
      <c r="U29" s="192" t="e">
        <f>"Trace L10-2 ["&amp;$B$2&amp;"]"</f>
        <v>#REF!</v>
      </c>
      <c r="V29" s="192" t="s">
        <v>266</v>
      </c>
      <c r="W29" s="192" t="s">
        <v>269</v>
      </c>
      <c r="X29" s="130" t="e">
        <f>"Target Min Length  to U2
["&amp;$B$2&amp;"]"</f>
        <v>#REF!</v>
      </c>
      <c r="Y29" s="130" t="e">
        <f>"Target Max Length  to U2 
["&amp;$B$2&amp;"]"</f>
        <v>#REF!</v>
      </c>
      <c r="Z29" s="131" t="e">
        <f>"Routed Too Short to U2 [" &amp;$B$2&amp;"]"</f>
        <v>#REF!</v>
      </c>
      <c r="AA29" s="130" t="e">
        <f>"Routed Too Long to U2 [" &amp;$B$2&amp;"]"</f>
        <v>#REF!</v>
      </c>
      <c r="AB29" s="205"/>
      <c r="AC29" s="350"/>
      <c r="AD29" s="350"/>
      <c r="AE29" s="350"/>
      <c r="AF29" s="350"/>
      <c r="AG29" s="350"/>
      <c r="AH29" s="350"/>
      <c r="AI29" s="350"/>
      <c r="AJ29" s="350"/>
      <c r="AK29" s="350"/>
      <c r="AL29" s="350"/>
      <c r="AM29" s="192" t="s">
        <v>79</v>
      </c>
      <c r="AN29" s="132" t="e">
        <f>"L10-2 Length Test (&lt;=" &amp; IF($B$2="mil",1,0.0254)*150&amp;$B$2&amp;") or (L8-1+L10-2&lt;= "&amp;IF($B$2="mil",1,0.0254)*900&amp;$B$2&amp;")"</f>
        <v>#REF!</v>
      </c>
      <c r="AO29" s="129" t="e">
        <f>"Total Length to U2 (L0+L1+L2+S1+L5+Rs+L6+L7+L8-1+L10-2)Test
 ("&amp;IF($B$2="mil",1,0.0254)*500&amp;"-"&amp;IF($B$2="mil",1,0.0254)*7500&amp;IF($B$2="mil","mil","mm")&amp;")"</f>
        <v>#REF!</v>
      </c>
      <c r="AP29" s="129" t="e">
        <f>"Total Length to U2 (P1+L0+L1+L2+S1+L5+Rs+L6+L7+L8-1+L10-2) Test
 (&lt;="&amp;IF($B$2="mil",1,25.4)*8000&amp;IF($B$2="mil","mil","mm")&amp;")"</f>
        <v>#REF!</v>
      </c>
    </row>
    <row r="30" spans="1:45" x14ac:dyDescent="0.2">
      <c r="Q30" s="2" t="s">
        <v>427</v>
      </c>
      <c r="R30" s="2" t="s">
        <v>428</v>
      </c>
      <c r="T30" s="143" t="s">
        <v>67</v>
      </c>
      <c r="U30" s="143"/>
      <c r="V30" s="146"/>
      <c r="W30" s="340" t="s">
        <v>275</v>
      </c>
      <c r="X30" s="209" t="e">
        <f>MIN('DDR2 Clocks - 4L'!$O$9:$O$10)</f>
        <v>#REF!</v>
      </c>
      <c r="Y30" s="209" t="e">
        <f>MAX('DDR2 Clocks - 4L'!$O$9:$O$10)</f>
        <v>#REF!</v>
      </c>
      <c r="Z30" s="209"/>
      <c r="AA30" s="209"/>
      <c r="AM30" s="143" t="s">
        <v>67</v>
      </c>
      <c r="AN30" s="153"/>
      <c r="AO30" s="153"/>
      <c r="AP30" s="154"/>
      <c r="AS30" s="4"/>
    </row>
    <row r="31" spans="1:45" x14ac:dyDescent="0.2">
      <c r="K31"/>
      <c r="T31" s="134" t="s">
        <v>425</v>
      </c>
      <c r="U31" s="157"/>
      <c r="V31" s="158"/>
      <c r="W31" s="158"/>
      <c r="X31" s="349"/>
      <c r="Y31" s="355"/>
      <c r="Z31" s="355"/>
      <c r="AA31" s="349"/>
      <c r="AM31" s="134" t="s">
        <v>280</v>
      </c>
      <c r="AN31" s="159"/>
      <c r="AO31" s="159"/>
      <c r="AP31" s="206"/>
      <c r="AS31" s="4"/>
    </row>
    <row r="32" spans="1:45" x14ac:dyDescent="0.2">
      <c r="K32"/>
      <c r="Q32" s="2" t="s">
        <v>293</v>
      </c>
      <c r="R32" s="2" t="s">
        <v>299</v>
      </c>
      <c r="T32" s="214" t="s">
        <v>73</v>
      </c>
      <c r="U32" s="343">
        <v>26.29</v>
      </c>
      <c r="V32" s="344">
        <f>SUM($E20:$H20,$M20,$N20,$Q20,$R20,$S20,$U32)</f>
        <v>3451.61</v>
      </c>
      <c r="W32" s="166">
        <f>$V32+$C20</f>
        <v>4259.51</v>
      </c>
      <c r="X32" s="166" t="e">
        <f>MAX($X$30:$Y$30) + IF($B$2="mil",1,0.0254)*DDR2Specs!$E$6</f>
        <v>#REF!</v>
      </c>
      <c r="Y32" s="166" t="e">
        <f>MIN($X$30:$Y$30) + IF($B$2="mil",1,0.0254)*DDR2Specs!$F$6</f>
        <v>#REF!</v>
      </c>
      <c r="Z32" s="358" t="e">
        <f>IF($W32&lt;$X32,$X32-$W32,"Pass")</f>
        <v>#REF!</v>
      </c>
      <c r="AA32" s="358" t="e">
        <f>IF($W32&gt;$Y32,$W32-$Y32,"Pass")</f>
        <v>#REF!</v>
      </c>
      <c r="AM32" s="214" t="s">
        <v>73</v>
      </c>
      <c r="AN32" s="176" t="e">
        <f ca="1">CheckLength2(900,S20,U32,0)</f>
        <v>#NAME?</v>
      </c>
      <c r="AO32" s="307" t="e">
        <f>IF(AND(V32&gt;=IF($B$2="mil",1,0.0254)*500, $V32&lt;=IF($B$2="mil",1,0.0254)*7500),"Pass",IF($B$2="mil",1,0.0254)*7500-$V32)</f>
        <v>#REF!</v>
      </c>
      <c r="AP32" s="307" t="e">
        <f>IF(AND($W32&gt;=IF($B$2="mil",1,0.0254)*500, $W32&lt;=IF($B$2="mil",1,0.0254)*8000),"Pass",IF($B$2="mil",1,0.0254)*8000-$W32)</f>
        <v>#REF!</v>
      </c>
      <c r="AQ32" s="4" t="e">
        <f ca="1">IF(AND(Z32="Pass",AA32="Pass",,AN32="Pass",AO32="Pass",AP32="Pass"),"Pass","Fail")</f>
        <v>#REF!</v>
      </c>
      <c r="AS32" s="4"/>
    </row>
    <row r="33" spans="11:45" x14ac:dyDescent="0.2">
      <c r="K33"/>
      <c r="T33" s="214" t="s">
        <v>75</v>
      </c>
      <c r="U33" s="297">
        <v>26.5</v>
      </c>
      <c r="V33" s="287">
        <f>SUM($E21:$H21,$M21,$N21,$Q21,$R21,$S21,$U33)</f>
        <v>3388.72</v>
      </c>
      <c r="W33" s="172">
        <f>$V33+$C21</f>
        <v>3757.72</v>
      </c>
      <c r="X33" s="166" t="e">
        <f>MAX($X$30:$Y$30) + IF($B$2="mil",1,0.0254)*DDR2Specs!$E$6</f>
        <v>#REF!</v>
      </c>
      <c r="Y33" s="166" t="e">
        <f>MIN($X$30:$Y$30) + IF($B$2="mil",1,0.0254)*DDR2Specs!$F$6</f>
        <v>#REF!</v>
      </c>
      <c r="Z33" s="358" t="e">
        <f>IF($W33&lt;$X33,$X33-$W33,"Pass")</f>
        <v>#REF!</v>
      </c>
      <c r="AA33" s="358" t="e">
        <f>IF($W33&gt;$Y33,$W33-$Y33,"Pass")</f>
        <v>#REF!</v>
      </c>
      <c r="AM33" s="214" t="s">
        <v>75</v>
      </c>
      <c r="AN33" s="176" t="e">
        <f ca="1">CheckLength2(900,S21,U33,0)</f>
        <v>#NAME?</v>
      </c>
      <c r="AO33" s="307" t="e">
        <f>IF(AND(V33&gt;=IF($B$2="mil",1,0.0254)*500, $V33&lt;=IF($B$2="mil",1,0.0254)*7500),"Pass",IF($B$2="mil",1,0.0254)*7500-$V33)</f>
        <v>#REF!</v>
      </c>
      <c r="AP33" s="307" t="e">
        <f>IF(AND($W33&gt;=IF($B$2="mil",1,0.0254)*500, $W33&lt;=IF($B$2="mil",1,0.0254)*8000),"Pass",IF($B$2="mil",1,0.0254)*8000-$W33)</f>
        <v>#REF!</v>
      </c>
      <c r="AQ33" s="4" t="e">
        <f ca="1">IF(AND(Z33="Pass",AA33="Pass",,AN33="Pass",AO33="Pass",AP33="Pass"),"Pass","Fail")</f>
        <v>#REF!</v>
      </c>
      <c r="AS33" s="4"/>
    </row>
    <row r="34" spans="11:45" x14ac:dyDescent="0.2">
      <c r="T34" s="162" t="s">
        <v>77</v>
      </c>
      <c r="U34" s="297">
        <v>131.22999999999999</v>
      </c>
      <c r="V34" s="287">
        <f>SUM($E22:$H22,$M22,$N22,$Q22,$R22,$S22,$U34)</f>
        <v>3494.22</v>
      </c>
      <c r="W34" s="172">
        <f>$V34+$C22</f>
        <v>3756.4199999999996</v>
      </c>
      <c r="X34" s="172" t="e">
        <f>MAX($X$30:$Y$30) + IF($B$2="mil",1,0.0254)*DDR2Specs!$E$6</f>
        <v>#REF!</v>
      </c>
      <c r="Y34" s="172" t="e">
        <f>MIN($X$30:$Y$30) + IF($B$2="mil",1,0.0254)*DDR2Specs!$F$6</f>
        <v>#REF!</v>
      </c>
      <c r="Z34" s="173" t="e">
        <f>IF($W34&lt;$X34,$X34-$W34,"Pass")</f>
        <v>#REF!</v>
      </c>
      <c r="AA34" s="174" t="e">
        <f>IF($W34&gt;$Y34,$W34-$Y34,"Pass")</f>
        <v>#REF!</v>
      </c>
      <c r="AM34" s="161" t="s">
        <v>77</v>
      </c>
      <c r="AN34" s="176" t="e">
        <f ca="1">CheckLength2(900,S22,U34,0)</f>
        <v>#NAME?</v>
      </c>
      <c r="AO34" s="307" t="e">
        <f>IF(AND(V34&gt;=IF($B$2="mil",1,0.0254)*500, $V34&lt;=IF($B$2="mil",1,0.0254)*7500),"Pass",IF($B$2="mil",1,0.0254)*7500-$V34)</f>
        <v>#REF!</v>
      </c>
      <c r="AP34" s="307" t="e">
        <f>IF(AND($W34&gt;=IF($B$2="mil",1,0.0254)*500, $W34&lt;=IF($B$2="mil",1,0.0254)*8000),"Pass",IF($B$2="mil",1,0.0254)*8000-$W34)</f>
        <v>#REF!</v>
      </c>
      <c r="AQ34" s="4" t="e">
        <f ca="1">IF(AND(Z34="Pass",AA34="Pass",,AN34="Pass",AO34="Pass",AP34="Pass"),"Pass","Fail")</f>
        <v>#REF!</v>
      </c>
      <c r="AS34" s="4"/>
    </row>
    <row r="35" spans="11:45" ht="33.75" x14ac:dyDescent="0.2">
      <c r="T35" s="123" t="s">
        <v>79</v>
      </c>
      <c r="U35" s="123" t="e">
        <f>"Trace L10-2 ["&amp;$B$2&amp;"]"</f>
        <v>#REF!</v>
      </c>
      <c r="V35" s="123" t="s">
        <v>429</v>
      </c>
      <c r="W35" s="123" t="s">
        <v>430</v>
      </c>
      <c r="X35" s="129" t="e">
        <f>"Target Min Length  to U6
["&amp;$B$2&amp;"]"</f>
        <v>#REF!</v>
      </c>
      <c r="Y35" s="129" t="e">
        <f>"Target Max Length  to U6 
["&amp;$B$2&amp;"]"</f>
        <v>#REF!</v>
      </c>
      <c r="Z35" s="129" t="e">
        <f>"Routed Too Short to U6 [" &amp;$B$2&amp;"]"</f>
        <v>#REF!</v>
      </c>
      <c r="AA35" s="129" t="e">
        <f>"Routed Too Long to U6 [" &amp;$B$2&amp;"]"</f>
        <v>#REF!</v>
      </c>
      <c r="AM35" s="192" t="s">
        <v>79</v>
      </c>
      <c r="AN35" s="132" t="e">
        <f>"L10-2 Length Test (&lt;=" &amp; IF($B$2="mil",1,0.0254)*150&amp;$B$2&amp;") or (L8-1+L10-2&lt;= "&amp;IF($B$2="mil",1,0.0254)*900&amp;$B$2&amp;")"</f>
        <v>#REF!</v>
      </c>
      <c r="AO35" s="129" t="e">
        <f>"Total Length to U6 (L0+L1+L2+S1+L5+Rs+L6+L7+L8-1+L10-2)Test
 ("&amp;IF($B$2="mil",1,0.0254)*500&amp;"-"&amp;IF($B$2="mil",1,0.0254)*7500&amp;IF($B$2="mil","mil","mm")&amp;")"</f>
        <v>#REF!</v>
      </c>
      <c r="AP35" s="129" t="e">
        <f>"Total Length to U6 (P1+L0+L1+L2+S1+L5+Rs+L6+L7+L8-1+L10-2) Test
 (&lt;="&amp;IF($B$2="mil",1,25.4)*8000&amp;IF($B$2="mil","mil","mm")&amp;")"</f>
        <v>#REF!</v>
      </c>
      <c r="AQ35" s="4"/>
      <c r="AS35" s="4"/>
    </row>
    <row r="36" spans="11:45" x14ac:dyDescent="0.2">
      <c r="T36" s="140" t="s">
        <v>67</v>
      </c>
      <c r="U36" s="345"/>
      <c r="V36" s="346"/>
      <c r="W36" s="340" t="s">
        <v>333</v>
      </c>
      <c r="X36" s="149" t="e">
        <f>MIN('DDR2 Clocks - 4L'!$O$11:$O$12)</f>
        <v>#REF!</v>
      </c>
      <c r="Y36" s="347" t="e">
        <f>MAX('DDR2 Clocks - 4L'!$O$11:$O$12)</f>
        <v>#REF!</v>
      </c>
      <c r="Z36" s="151"/>
      <c r="AA36" s="149"/>
      <c r="AM36" s="143" t="s">
        <v>67</v>
      </c>
      <c r="AN36" s="153"/>
      <c r="AO36" s="153"/>
      <c r="AP36" s="154"/>
      <c r="AQ36" s="4"/>
      <c r="AS36" s="4"/>
    </row>
    <row r="37" spans="11:45" x14ac:dyDescent="0.2">
      <c r="Q37" s="2" t="s">
        <v>294</v>
      </c>
      <c r="R37" s="2" t="s">
        <v>300</v>
      </c>
      <c r="T37" s="134" t="s">
        <v>426</v>
      </c>
      <c r="U37" s="157"/>
      <c r="V37" s="158"/>
      <c r="W37" s="158"/>
      <c r="X37" s="159"/>
      <c r="Y37" s="160"/>
      <c r="Z37" s="160"/>
      <c r="AA37" s="159"/>
      <c r="AM37" s="134" t="s">
        <v>280</v>
      </c>
      <c r="AN37" s="159"/>
      <c r="AO37" s="159"/>
      <c r="AP37" s="206"/>
      <c r="AQ37" s="4"/>
      <c r="AS37" s="4"/>
    </row>
    <row r="38" spans="11:45" x14ac:dyDescent="0.2">
      <c r="T38" s="162" t="s">
        <v>74</v>
      </c>
      <c r="U38" s="297">
        <v>26.29</v>
      </c>
      <c r="V38" s="344">
        <f>SUM($E26:$H26,$M26,$N26,$Q26,$R26,$S26,$U38)</f>
        <v>3451.61</v>
      </c>
      <c r="W38" s="166">
        <f>$V38+$C26</f>
        <v>4230.6100000000006</v>
      </c>
      <c r="X38" s="172" t="e">
        <f>MAX($X$30:$Y$30) + IF($B$2="mil",1,0.0254)*DDR2Specs!$E$6</f>
        <v>#REF!</v>
      </c>
      <c r="Y38" s="172" t="e">
        <f>MIN($X$30:$Y$30) + IF($B$2="mil",1,0.0254)*DDR2Specs!$F$6</f>
        <v>#REF!</v>
      </c>
      <c r="Z38" s="173" t="e">
        <f>IF($W38&lt;$X38,$X38-$W38,"Pass")</f>
        <v>#REF!</v>
      </c>
      <c r="AA38" s="174" t="e">
        <f>IF($W38&gt;$Y38,$W38-$Y38,"Pass")</f>
        <v>#REF!</v>
      </c>
      <c r="AM38" s="161" t="s">
        <v>74</v>
      </c>
      <c r="AN38" s="176" t="e">
        <f ca="1">CheckLength2(900,S26,U38,0)</f>
        <v>#NAME?</v>
      </c>
      <c r="AO38" s="307" t="e">
        <f>IF(AND(V38&gt;=IF($B$2="mil",1,0.0254)*500, $V38&lt;=IF($B$2="mil",1,0.0254)*7500),"Pass",IF($B$2="mil",1,0.0254)*7500-$V38)</f>
        <v>#REF!</v>
      </c>
      <c r="AP38" s="307" t="e">
        <f>IF(AND($W38&gt;=IF($B$2="mil",1,0.0254)*500, $W38&lt;=IF($B$2="mil",1,0.0254)*8000),"Pass",IF($B$2="mil",1,0.0254)*8000-$W38)</f>
        <v>#REF!</v>
      </c>
      <c r="AQ38" s="4" t="e">
        <f ca="1">IF(AND(Z38="Pass",AA38="Pass",,AN38="Pass",AO38="Pass",AP38="Pass"),"Pass","Fail")</f>
        <v>#REF!</v>
      </c>
      <c r="AS38" s="4"/>
    </row>
    <row r="39" spans="11:45" x14ac:dyDescent="0.2">
      <c r="T39" s="162" t="s">
        <v>76</v>
      </c>
      <c r="U39" s="297">
        <v>46.5</v>
      </c>
      <c r="V39" s="344">
        <f>SUM($E27:$H27,$M27,$N27,$Q27,$R27,$S27,$U39)</f>
        <v>3408.72</v>
      </c>
      <c r="W39" s="166">
        <f>$V39+$C27</f>
        <v>3675.9199999999996</v>
      </c>
      <c r="X39" s="172" t="e">
        <f>MAX($X$30:$Y$30) + IF($B$2="mil",1,0.0254)*DDR2Specs!$E$6</f>
        <v>#REF!</v>
      </c>
      <c r="Y39" s="172" t="e">
        <f>MIN($X$30:$Y$30) + IF($B$2="mil",1,0.0254)*DDR2Specs!$F$6</f>
        <v>#REF!</v>
      </c>
      <c r="Z39" s="173" t="e">
        <f>IF($W39&lt;$X39,$X39-$W39,"Pass")</f>
        <v>#REF!</v>
      </c>
      <c r="AA39" s="174" t="e">
        <f>IF($W39&gt;$Y39,$W39-$Y39,"Pass")</f>
        <v>#REF!</v>
      </c>
      <c r="AM39" s="161" t="s">
        <v>76</v>
      </c>
      <c r="AN39" s="176" t="e">
        <f ca="1">CheckLength2(900,S27,U39,0)</f>
        <v>#NAME?</v>
      </c>
      <c r="AO39" s="307" t="e">
        <f>IF(AND(V39&gt;=IF($B$2="mil",1,0.0254)*500, $V39&lt;=IF($B$2="mil",1,0.0254)*7500),"Pass",IF($B$2="mil",1,0.0254)*7500-$V39)</f>
        <v>#REF!</v>
      </c>
      <c r="AP39" s="307" t="e">
        <f>IF(AND($W39&gt;=IF($B$2="mil",1,0.0254)*500, $W39&lt;=IF($B$2="mil",1,0.0254)*8000),"Pass",IF($B$2="mil",1,0.0254)*8000-$W39)</f>
        <v>#REF!</v>
      </c>
      <c r="AQ39" s="4" t="e">
        <f ca="1">IF(AND(Z39="Pass",AA39="Pass",,AN39="Pass",AO39="Pass",AP39="Pass"),"Pass","Fail")</f>
        <v>#REF!</v>
      </c>
      <c r="AS39" s="4"/>
    </row>
    <row r="40" spans="11:45" x14ac:dyDescent="0.2">
      <c r="T40" s="162" t="s">
        <v>78</v>
      </c>
      <c r="U40" s="297">
        <v>131.22999999999999</v>
      </c>
      <c r="V40" s="344">
        <f>SUM($E28:$H28,$M28,$N28,$Q28,$R28,$S28,$U40)</f>
        <v>3494.22</v>
      </c>
      <c r="W40" s="166">
        <f>$V40+$C28</f>
        <v>3820.62</v>
      </c>
      <c r="X40" s="172" t="e">
        <f>MAX($X$30:$Y$30) + IF($B$2="mil",1,0.0254)*DDR2Specs!$E$6</f>
        <v>#REF!</v>
      </c>
      <c r="Y40" s="172" t="e">
        <f>MIN($X$30:$Y$30) + IF($B$2="mil",1,0.0254)*DDR2Specs!$F$6</f>
        <v>#REF!</v>
      </c>
      <c r="Z40" s="173" t="e">
        <f>IF($W40&lt;$X40,$X40-$W40,"Pass")</f>
        <v>#REF!</v>
      </c>
      <c r="AA40" s="174" t="e">
        <f>IF($W40&gt;$Y40,$W40-$Y40,"Pass")</f>
        <v>#REF!</v>
      </c>
      <c r="AM40" s="161" t="s">
        <v>78</v>
      </c>
      <c r="AN40" s="176" t="e">
        <f ca="1">CheckLength2(900,S28,U40,0)</f>
        <v>#NAME?</v>
      </c>
      <c r="AO40" s="307" t="e">
        <f>IF(AND(V40&gt;=IF($B$2="mil",1,0.0254)*500, $V40&lt;=IF($B$2="mil",1,0.0254)*7500),"Pass",IF($B$2="mil",1,0.0254)*7500-$V40)</f>
        <v>#REF!</v>
      </c>
      <c r="AP40" s="307" t="e">
        <f>IF(AND($W40&gt;=IF($B$2="mil",1,0.0254)*500, $W40&lt;=IF($B$2="mil",1,0.0254)*8000),"Pass",IF($B$2="mil",1,0.0254)*8000-$W40)</f>
        <v>#REF!</v>
      </c>
      <c r="AQ40" s="4" t="e">
        <f ca="1">IF(AND(Z40="Pass",AA40="Pass",,AN40="Pass",AO40="Pass",AP40="Pass"),"Pass","Fail")</f>
        <v>#REF!</v>
      </c>
      <c r="AS40" s="4"/>
    </row>
    <row r="41" spans="11:45" ht="33.75" x14ac:dyDescent="0.2">
      <c r="Q41" s="356" t="s">
        <v>296</v>
      </c>
      <c r="R41" s="356" t="s">
        <v>301</v>
      </c>
      <c r="S41" s="123" t="s">
        <v>79</v>
      </c>
      <c r="T41" s="123" t="e">
        <f>"Trace L8-2 ["&amp;$B$2&amp;"]"</f>
        <v>#REF!</v>
      </c>
      <c r="U41" s="123" t="e">
        <f>"Trace L10-3 ["&amp;$B$2&amp;"]"</f>
        <v>#REF!</v>
      </c>
      <c r="V41" s="123" t="s">
        <v>267</v>
      </c>
      <c r="W41" s="192" t="s">
        <v>270</v>
      </c>
      <c r="X41" s="130" t="e">
        <f>"Target Min Length to U3
["&amp;$B$2&amp;"]"</f>
        <v>#REF!</v>
      </c>
      <c r="Y41" s="130" t="e">
        <f>"Target Max Length to U3 
["&amp;$B$2&amp;"]"</f>
        <v>#REF!</v>
      </c>
      <c r="Z41" s="131" t="e">
        <f>"Routed Too Short to U3 [" &amp;$B$2&amp;"]"</f>
        <v>#REF!</v>
      </c>
      <c r="AA41" s="130" t="e">
        <f>"Routed Too Long to U3 [" &amp;$B$2&amp;"]"</f>
        <v>#REF!</v>
      </c>
      <c r="AI41" s="192" t="s">
        <v>79</v>
      </c>
      <c r="AJ41" s="129" t="e">
        <f>"L8-2 Length Test (&lt;=" &amp; IF($B$2="mil",1,0.0254)*750&amp;$B$2&amp;")"</f>
        <v>#REF!</v>
      </c>
      <c r="AN41" s="132" t="e">
        <f>"L10-3 Length Test (&lt;=" &amp; IF($B$2="mil",1,0.0254)*150&amp;$B$2&amp;") or (L8-2+L10-3&lt;= "&amp;IF($B$2="mil",1,0.0254)*900&amp;$B$2&amp;")"</f>
        <v>#REF!</v>
      </c>
      <c r="AO41" s="129" t="e">
        <f>"Total Length to U3 (L0+L1+L2+S1+L5+Rs+L6+L7+L8-2+L10-3)Test
 ("&amp;IF($B$2="mil",1,0.0254)*500&amp;"-"&amp;IF($B$2="mil",1,0.0254)*7500&amp;IF($B$2="mil","mil","mm")&amp;")"</f>
        <v>#REF!</v>
      </c>
      <c r="AP41" s="129" t="e">
        <f>"Total Length to U3 (P1+L0+L1+L2+S1+L5+Rs+L6+L7+L8-2+L10-3) Test
 (&lt;="&amp;IF($B$2="mil",1,25.4)*8000&amp;IF($B$2="mil","mil","mm")&amp;")"</f>
        <v>#REF!</v>
      </c>
      <c r="AS41" s="4"/>
    </row>
    <row r="42" spans="11:45" x14ac:dyDescent="0.2">
      <c r="S42" s="140" t="s">
        <v>67</v>
      </c>
      <c r="T42" s="143"/>
      <c r="U42" s="143"/>
      <c r="V42" s="146"/>
      <c r="W42" s="340" t="s">
        <v>274</v>
      </c>
      <c r="X42" s="209" t="e">
        <f>MIN('DDR2 Clocks - 4L'!$O$13:$O$14)</f>
        <v>#REF!</v>
      </c>
      <c r="Y42" s="209" t="e">
        <f>MAX('DDR2 Clocks - 4L'!$O$13:$O$14)</f>
        <v>#REF!</v>
      </c>
      <c r="Z42" s="360"/>
      <c r="AA42" s="209"/>
      <c r="AI42" s="143" t="s">
        <v>67</v>
      </c>
      <c r="AJ42" s="154"/>
      <c r="AN42" s="153"/>
      <c r="AO42" s="153"/>
      <c r="AP42" s="154"/>
      <c r="AS42" s="4"/>
    </row>
    <row r="43" spans="11:45" x14ac:dyDescent="0.2">
      <c r="S43" s="134" t="s">
        <v>425</v>
      </c>
      <c r="T43" s="157"/>
      <c r="U43" s="157"/>
      <c r="V43" s="158"/>
      <c r="W43" s="158"/>
      <c r="X43" s="349"/>
      <c r="Y43" s="355"/>
      <c r="Z43" s="355"/>
      <c r="AA43" s="349"/>
      <c r="AI43" s="134" t="s">
        <v>280</v>
      </c>
      <c r="AJ43" s="308"/>
      <c r="AN43" s="159"/>
      <c r="AO43" s="159"/>
      <c r="AP43" s="206"/>
      <c r="AS43" s="4"/>
    </row>
    <row r="44" spans="11:45" x14ac:dyDescent="0.2">
      <c r="S44" s="161" t="s">
        <v>73</v>
      </c>
      <c r="T44" s="271">
        <v>705.31</v>
      </c>
      <c r="U44" s="169">
        <v>28.4</v>
      </c>
      <c r="V44" s="166">
        <f>SUM($E20:$H20,$M20,$N20,$Q20,$R20,$T44,$U44)</f>
        <v>3453.7200000000003</v>
      </c>
      <c r="W44" s="166">
        <f>$V44+$C20</f>
        <v>4261.62</v>
      </c>
      <c r="X44" s="172" t="e">
        <f>MAX($X$42:$Y$42) + IF($B$2="mil",1,0.0254)*DDR2Specs!$E$6</f>
        <v>#REF!</v>
      </c>
      <c r="Y44" s="172" t="e">
        <f>MIN($X$42:$Y$42) + IF($B$2="mil",1,0.0254)*DDR2Specs!$F$6</f>
        <v>#REF!</v>
      </c>
      <c r="Z44" s="173" t="e">
        <f>IF($W44&lt;$X44,$X44-$W44,"Pass")</f>
        <v>#REF!</v>
      </c>
      <c r="AA44" s="174" t="e">
        <f>IF($W44&gt;$Y44,$W44-$Y44,"Pass")</f>
        <v>#REF!</v>
      </c>
      <c r="AI44" s="161" t="s">
        <v>73</v>
      </c>
      <c r="AJ44" s="307" t="e">
        <f>IF(T44&lt;=IF($B$2="mil",1,0.0254)*750,"Pass",IF($B$2="mil",1,0.0254)*750-T44)</f>
        <v>#REF!</v>
      </c>
      <c r="AN44" s="176" t="e">
        <f ca="1">CheckLength2(900,T44,U44,0)</f>
        <v>#NAME?</v>
      </c>
      <c r="AO44" s="176" t="e">
        <f>IF(AND(V44&gt;=IF($B$2="mil",1,0.0254)*500, $V44&lt;=IF($B$2="mil",1,0.0254)*7500),"Pass",IF($B$2="mil",1,0.0254)*7500-$V44)</f>
        <v>#REF!</v>
      </c>
      <c r="AP44" s="238" t="e">
        <f>IF(AND($W44&gt;=IF($B$2="mil",1,0.0254)*500, $W44&lt;=IF($B$2="mil",1,0.0254)*8000),"Pass",IF($B$2="mil",1,0.0254)*8000-$W44)</f>
        <v>#REF!</v>
      </c>
      <c r="AQ44" s="4" t="e">
        <f ca="1">IF(AND(Z44="Pass",AA44="Pass",AJ44="Pass",AN44="Pass",AO44="Pass",AP44="Pass"),"Pass","Fail")</f>
        <v>#REF!</v>
      </c>
      <c r="AS44" s="4"/>
    </row>
    <row r="45" spans="11:45" x14ac:dyDescent="0.2">
      <c r="S45" s="161" t="s">
        <v>75</v>
      </c>
      <c r="T45" s="271">
        <v>668.9</v>
      </c>
      <c r="U45" s="169">
        <v>31.52</v>
      </c>
      <c r="V45" s="166">
        <f>SUM($E21:$H21,$M21,$N21,$Q21,$R21,$T45,$U45)</f>
        <v>3393.74</v>
      </c>
      <c r="W45" s="172">
        <f>$V45+$C21</f>
        <v>3762.74</v>
      </c>
      <c r="X45" s="172" t="e">
        <f>MAX($X$42:$Y$42) + IF($B$2="mil",1,0.0254)*DDR2Specs!$E$6</f>
        <v>#REF!</v>
      </c>
      <c r="Y45" s="172" t="e">
        <f>MIN($X$42:$Y$42) + IF($B$2="mil",1,0.0254)*DDR2Specs!$F$6</f>
        <v>#REF!</v>
      </c>
      <c r="Z45" s="173" t="e">
        <f>IF($W45&lt;$X45,$X45-$W45,"Pass")</f>
        <v>#REF!</v>
      </c>
      <c r="AA45" s="174" t="e">
        <f>IF($W45&gt;$Y45,$W45-$Y45,"Pass")</f>
        <v>#REF!</v>
      </c>
      <c r="AI45" s="161" t="s">
        <v>75</v>
      </c>
      <c r="AJ45" s="307" t="e">
        <f>IF(T45&lt;=IF($B$2="mil",1,0.0254)*750,"Pass",IF($B$2="mil",1,0.0254)*750-T45)</f>
        <v>#REF!</v>
      </c>
      <c r="AN45" s="176" t="e">
        <f ca="1">CheckLength2(900,T45,U45,0)</f>
        <v>#NAME?</v>
      </c>
      <c r="AO45" s="176" t="e">
        <f>IF(AND(V45&gt;=IF($B$2="mil",1,0.0254)*500, $V45&lt;=IF($B$2="mil",1,0.0254)*7500),"Pass",IF($B$2="mil",1,0.0254)*7500-$V45)</f>
        <v>#REF!</v>
      </c>
      <c r="AP45" s="238" t="e">
        <f>IF(AND($W45&gt;=IF($B$2="mil",1,0.0254)*500, $W45&lt;=IF($B$2="mil",1,0.0254)*8000),"Pass",IF($B$2="mil",1,0.0254)*8000-$W45)</f>
        <v>#REF!</v>
      </c>
      <c r="AQ45" s="4" t="e">
        <f ca="1">IF(AND(Z45="Pass",AA45="Pass",AJ45="Pass",AN45="Pass",AO45="Pass",AP45="Pass"),"Pass","Fail")</f>
        <v>#REF!</v>
      </c>
      <c r="AS45" s="4"/>
    </row>
    <row r="46" spans="11:45" x14ac:dyDescent="0.2">
      <c r="S46" s="161" t="s">
        <v>77</v>
      </c>
      <c r="T46" s="271">
        <v>728.33</v>
      </c>
      <c r="U46" s="169">
        <v>76.06</v>
      </c>
      <c r="V46" s="166">
        <f>SUM($E22:$H22,$M22,$N22,$Q22,$R22,$T46,$U46)</f>
        <v>3439.0499999999997</v>
      </c>
      <c r="W46" s="172">
        <f>$V46+$C22</f>
        <v>3701.2499999999995</v>
      </c>
      <c r="X46" s="172" t="e">
        <f>MAX($X$42:$Y$42) + IF($B$2="mil",1,0.0254)*DDR2Specs!$E$6</f>
        <v>#REF!</v>
      </c>
      <c r="Y46" s="172" t="e">
        <f>MIN($X$42:$Y$42) + IF($B$2="mil",1,0.0254)*DDR2Specs!$F$6</f>
        <v>#REF!</v>
      </c>
      <c r="Z46" s="173" t="e">
        <f>IF($W46&lt;$X46,$X46-$W46,"Pass")</f>
        <v>#REF!</v>
      </c>
      <c r="AA46" s="174" t="e">
        <f>IF($W46&gt;$Y46,$W46-$Y46,"Pass")</f>
        <v>#REF!</v>
      </c>
      <c r="AI46" s="161" t="s">
        <v>77</v>
      </c>
      <c r="AJ46" s="307" t="e">
        <f>IF(T46&lt;=IF($B$2="mil",1,0.0254)*750,"Pass",IF($B$2="mil",1,0.0254)*750-T46)</f>
        <v>#REF!</v>
      </c>
      <c r="AN46" s="176" t="e">
        <f ca="1">CheckLength2(900,T46,U46,0)</f>
        <v>#NAME?</v>
      </c>
      <c r="AO46" s="176" t="e">
        <f>IF(AND(V46&gt;=IF($B$2="mil",1,0.0254)*500, $V46&lt;=IF($B$2="mil",1,0.0254)*7500),"Pass",IF($B$2="mil",1,0.0254)*7500-$V46)</f>
        <v>#REF!</v>
      </c>
      <c r="AP46" s="238" t="e">
        <f>IF(AND($W46&gt;=IF($B$2="mil",1,0.0254)*500, $W46&lt;=IF($B$2="mil",1,0.0254)*8000),"Pass",IF($B$2="mil",1,0.0254)*8000-$W46)</f>
        <v>#REF!</v>
      </c>
      <c r="AQ46" s="4" t="e">
        <f ca="1">IF(AND(Z46="Pass",AA46="Pass",AJ46="Pass",AN46="Pass",AO46="Pass",AP46="Pass"),"Pass","Fail")</f>
        <v>#REF!</v>
      </c>
      <c r="AS46" s="4"/>
    </row>
    <row r="47" spans="11:45" ht="33.75" x14ac:dyDescent="0.2">
      <c r="Q47" s="357" t="s">
        <v>295</v>
      </c>
      <c r="R47" s="357" t="s">
        <v>302</v>
      </c>
      <c r="S47" s="123" t="s">
        <v>79</v>
      </c>
      <c r="T47" s="123" t="e">
        <f>"Trace L8-2 ["&amp;$B$2&amp;"]"</f>
        <v>#REF!</v>
      </c>
      <c r="U47" s="123" t="e">
        <f>"Trace L10-3 ["&amp;$B$2&amp;"]"</f>
        <v>#REF!</v>
      </c>
      <c r="V47" s="123" t="s">
        <v>431</v>
      </c>
      <c r="W47" s="123" t="s">
        <v>432</v>
      </c>
      <c r="X47" s="129" t="e">
        <f>"Target Min Length to U7
["&amp;$B$2&amp;"]"</f>
        <v>#REF!</v>
      </c>
      <c r="Y47" s="129" t="e">
        <f>"Target Max Length to U7 
["&amp;$B$2&amp;"]"</f>
        <v>#REF!</v>
      </c>
      <c r="Z47" s="359" t="e">
        <f>"Routed Too Short to U7 [" &amp;$B$2&amp;"]"</f>
        <v>#REF!</v>
      </c>
      <c r="AA47" s="129" t="e">
        <f>"Routed Too Long to U7 [" &amp;$B$2&amp;"]"</f>
        <v>#REF!</v>
      </c>
      <c r="AI47" s="123" t="s">
        <v>79</v>
      </c>
      <c r="AJ47" s="129" t="e">
        <f>"L8-2 Length Test (&lt;=" &amp; IF($B$2="mil",1,0.0254)*750&amp;$B$2&amp;")"</f>
        <v>#REF!</v>
      </c>
      <c r="AN47" s="132" t="e">
        <f>"L10-3 Length Test (&lt;=" &amp; IF($B$2="mil",1,0.0254)*150&amp;$B$2&amp;") or (L8-2+L10-3&lt;= "&amp;IF($B$2="mil",1,0.0254)*900&amp;$B$2&amp;")"</f>
        <v>#REF!</v>
      </c>
      <c r="AO47" s="129" t="e">
        <f>"Total Length to U7 (L0+L1+L2+S1+L5+Rs+L6+L7+L8-2+L10-3)Test
 ("&amp;IF($B$2="mil",1,0.0254)*500&amp;"-"&amp;IF($B$2="mil",1,0.0254)*7500&amp;IF($B$2="mil","mil","mm")&amp;")"</f>
        <v>#REF!</v>
      </c>
      <c r="AP47" s="129" t="e">
        <f>"Total Length to U7 (P1+L0+L1+L2+S1+L5+Rs+L6+L7+L8-2+L10-3) Test
 (&lt;="&amp;IF($B$2="mil",1,25.4)*8000&amp;IF($B$2="mil","mil","mm")&amp;")"</f>
        <v>#REF!</v>
      </c>
      <c r="AS47" s="4"/>
    </row>
    <row r="48" spans="11:45" x14ac:dyDescent="0.2">
      <c r="S48" s="140" t="s">
        <v>67</v>
      </c>
      <c r="T48" s="143"/>
      <c r="U48" s="143"/>
      <c r="V48" s="346"/>
      <c r="W48" s="210" t="s">
        <v>334</v>
      </c>
      <c r="X48" s="149" t="e">
        <f>MIN('DDR2 Clocks - 4L'!$O$15:$O$16)</f>
        <v>#REF!</v>
      </c>
      <c r="Y48" s="347" t="e">
        <f>MAX('DDR2 Clocks - 4L'!$O$15:$O$16)</f>
        <v>#REF!</v>
      </c>
      <c r="Z48" s="151"/>
      <c r="AA48" s="149"/>
      <c r="AI48" s="140" t="s">
        <v>67</v>
      </c>
      <c r="AJ48" s="154"/>
      <c r="AN48" s="153"/>
      <c r="AO48" s="153"/>
      <c r="AP48" s="154"/>
      <c r="AS48" s="4"/>
    </row>
    <row r="49" spans="19:45" x14ac:dyDescent="0.2">
      <c r="S49" s="134" t="s">
        <v>426</v>
      </c>
      <c r="T49" s="157"/>
      <c r="U49" s="157"/>
      <c r="V49" s="158"/>
      <c r="W49" s="158"/>
      <c r="X49" s="159"/>
      <c r="Y49" s="160"/>
      <c r="Z49" s="160"/>
      <c r="AA49" s="159"/>
      <c r="AI49" s="134" t="s">
        <v>280</v>
      </c>
      <c r="AJ49" s="308"/>
      <c r="AN49" s="159"/>
      <c r="AO49" s="159"/>
      <c r="AP49" s="206"/>
      <c r="AS49" s="4"/>
    </row>
    <row r="50" spans="19:45" x14ac:dyDescent="0.2">
      <c r="S50" s="161" t="s">
        <v>74</v>
      </c>
      <c r="T50" s="271">
        <v>705.31</v>
      </c>
      <c r="U50" s="169">
        <v>28.4</v>
      </c>
      <c r="V50" s="166">
        <f>SUM($E26:$H26,$M26,$N26,$Q26,$R26,$T50,$U50)</f>
        <v>3453.7200000000003</v>
      </c>
      <c r="W50" s="166">
        <f>$V50+$C26</f>
        <v>4232.72</v>
      </c>
      <c r="X50" s="172" t="e">
        <f>MAX($X$42:$Y$42) + IF($B$2="mil",1,0.0254)*DDR2Specs!$E$6</f>
        <v>#REF!</v>
      </c>
      <c r="Y50" s="172" t="e">
        <f>MIN($X$42:$Y$42) + IF($B$2="mil",1,0.0254)*DDR2Specs!$F$6</f>
        <v>#REF!</v>
      </c>
      <c r="Z50" s="173" t="e">
        <f>IF($W50&lt;$X50,$X50-$W50,"Pass")</f>
        <v>#REF!</v>
      </c>
      <c r="AA50" s="174" t="e">
        <f>IF($W50&gt;$Y50,$W50-$Y50,"Pass")</f>
        <v>#REF!</v>
      </c>
      <c r="AI50" s="161" t="s">
        <v>74</v>
      </c>
      <c r="AJ50" s="307" t="e">
        <f>IF(T50&lt;=IF($B$2="mil",1,0.0254)*750,"Pass",IF($B$2="mil",1,0.0254)*750-T50)</f>
        <v>#REF!</v>
      </c>
      <c r="AN50" s="176" t="e">
        <f ca="1">CheckLength2(900,T50,U50,0)</f>
        <v>#NAME?</v>
      </c>
      <c r="AO50" s="176" t="e">
        <f>IF(AND(V50&gt;=IF($B$2="mil",1,0.0254)*500, $V50&lt;=IF($B$2="mil",1,0.0254)*7500),"Pass",IF($B$2="mil",1,0.0254)*7500-$V50)</f>
        <v>#REF!</v>
      </c>
      <c r="AP50" s="238" t="e">
        <f>IF(AND($W50&gt;=IF($B$2="mil",1,0.0254)*500, $W50&lt;=IF($B$2="mil",1,0.0254)*8000),"Pass",IF($B$2="mil",1,0.0254)*8000-$W50)</f>
        <v>#REF!</v>
      </c>
      <c r="AQ50" s="4" t="e">
        <f ca="1">IF(AND(Z50="Pass",AA50="Pass",AJ50="Pass",AN50="Pass",AO50="Pass",AP50="Pass"),"Pass","Fail")</f>
        <v>#REF!</v>
      </c>
      <c r="AS50" s="4"/>
    </row>
    <row r="51" spans="19:45" x14ac:dyDescent="0.2">
      <c r="S51" s="161" t="s">
        <v>76</v>
      </c>
      <c r="T51" s="271">
        <v>668.9</v>
      </c>
      <c r="U51" s="169">
        <v>51.52</v>
      </c>
      <c r="V51" s="166">
        <f>SUM($E27:$H27,$M27,$N27,$Q27,$R27,$T51,$U51)</f>
        <v>3413.74</v>
      </c>
      <c r="W51" s="166">
        <f>$V51+$C27</f>
        <v>3680.9399999999996</v>
      </c>
      <c r="X51" s="172" t="e">
        <f>MAX($X$42:$Y$42) + IF($B$2="mil",1,0.0254)*DDR2Specs!$E$6</f>
        <v>#REF!</v>
      </c>
      <c r="Y51" s="172" t="e">
        <f>MIN($X$42:$Y$42) + IF($B$2="mil",1,0.0254)*DDR2Specs!$F$6</f>
        <v>#REF!</v>
      </c>
      <c r="Z51" s="173" t="e">
        <f>IF($W51&lt;$X51,$X51-$W51,"Pass")</f>
        <v>#REF!</v>
      </c>
      <c r="AA51" s="174" t="e">
        <f>IF($W51&gt;$Y51,$W51-$Y51,"Pass")</f>
        <v>#REF!</v>
      </c>
      <c r="AI51" s="161" t="s">
        <v>76</v>
      </c>
      <c r="AJ51" s="307" t="e">
        <f>IF(T51&lt;=IF($B$2="mil",1,0.0254)*750,"Pass",IF($B$2="mil",1,0.0254)*750-T51)</f>
        <v>#REF!</v>
      </c>
      <c r="AN51" s="176" t="e">
        <f ca="1">CheckLength2(900,T51,U51,0)</f>
        <v>#NAME?</v>
      </c>
      <c r="AO51" s="176" t="e">
        <f>IF(AND(V51&gt;=IF($B$2="mil",1,0.0254)*500, $V51&lt;=IF($B$2="mil",1,0.0254)*7500),"Pass",IF($B$2="mil",1,0.0254)*7500-$V51)</f>
        <v>#REF!</v>
      </c>
      <c r="AP51" s="238" t="e">
        <f>IF(AND($W51&gt;=IF($B$2="mil",1,0.0254)*500, $W51&lt;=IF($B$2="mil",1,0.0254)*8000),"Pass",IF($B$2="mil",1,0.0254)*8000-$W51)</f>
        <v>#REF!</v>
      </c>
      <c r="AQ51" s="4" t="e">
        <f ca="1">IF(AND(Z51="Pass",AA51="Pass",AJ51="Pass",AN51="Pass",AO51="Pass",AP51="Pass"),"Pass","Fail")</f>
        <v>#REF!</v>
      </c>
      <c r="AS51" s="4"/>
    </row>
    <row r="52" spans="19:45" x14ac:dyDescent="0.2">
      <c r="S52" s="161" t="s">
        <v>78</v>
      </c>
      <c r="T52" s="271">
        <v>728.33</v>
      </c>
      <c r="U52" s="169">
        <v>76.06</v>
      </c>
      <c r="V52" s="166">
        <f>SUM($E28:$H28,$M28,$N28,$Q28,$R28,$T52,$U52)</f>
        <v>3439.0499999999997</v>
      </c>
      <c r="W52" s="166">
        <f>$V52+$C28</f>
        <v>3765.45</v>
      </c>
      <c r="X52" s="172" t="e">
        <f>MAX($X$42:$Y$42) + IF($B$2="mil",1,0.0254)*DDR2Specs!$E$6</f>
        <v>#REF!</v>
      </c>
      <c r="Y52" s="172" t="e">
        <f>MIN($X$42:$Y$42) + IF($B$2="mil",1,0.0254)*DDR2Specs!$F$6</f>
        <v>#REF!</v>
      </c>
      <c r="Z52" s="173" t="e">
        <f>IF($W52&lt;$X52,$X52-$W52,"Pass")</f>
        <v>#REF!</v>
      </c>
      <c r="AA52" s="174" t="e">
        <f>IF($W52&gt;$Y52,$W52-$Y52,"Pass")</f>
        <v>#REF!</v>
      </c>
      <c r="AI52" s="161" t="s">
        <v>78</v>
      </c>
      <c r="AJ52" s="307" t="e">
        <f>IF(T52&lt;=IF($B$2="mil",1,0.0254)*750,"Pass",IF($B$2="mil",1,0.0254)*750-T52)</f>
        <v>#REF!</v>
      </c>
      <c r="AN52" s="176" t="e">
        <f ca="1">CheckLength2(900,T52,U52,0)</f>
        <v>#NAME?</v>
      </c>
      <c r="AO52" s="176" t="e">
        <f>IF(AND(V52&gt;=IF($B$2="mil",1,0.0254)*500, $V52&lt;=IF($B$2="mil",1,0.0254)*7500),"Pass",IF($B$2="mil",1,0.0254)*7500-$V52)</f>
        <v>#REF!</v>
      </c>
      <c r="AP52" s="238" t="e">
        <f>IF(AND($W52&gt;=IF($B$2="mil",1,0.0254)*500, $W52&lt;=IF($B$2="mil",1,0.0254)*8000),"Pass",IF($B$2="mil",1,0.0254)*8000-$W52)</f>
        <v>#REF!</v>
      </c>
      <c r="AQ52" s="4" t="e">
        <f ca="1">IF(AND(Z52="Pass",AA52="Pass",AJ52="Pass",AN52="Pass",AO52="Pass",AP52="Pass"),"Pass","Fail")</f>
        <v>#REF!</v>
      </c>
      <c r="AS52" s="4"/>
    </row>
    <row r="53" spans="19:45" ht="33.75" x14ac:dyDescent="0.2">
      <c r="S53" s="123" t="s">
        <v>79</v>
      </c>
      <c r="T53" s="123" t="e">
        <f>"Trace L9-2 ["&amp;$B$2&amp;"]"</f>
        <v>#REF!</v>
      </c>
      <c r="U53" s="123" t="e">
        <f>"Trace L10-4 ["&amp;$B$2&amp;"]"</f>
        <v>#REF!</v>
      </c>
      <c r="V53" s="192" t="s">
        <v>268</v>
      </c>
      <c r="W53" s="192" t="s">
        <v>271</v>
      </c>
      <c r="X53" s="130" t="e">
        <f>"Target Min Length to U4
["&amp;$B$2&amp;"]"</f>
        <v>#REF!</v>
      </c>
      <c r="Y53" s="130" t="e">
        <f>"Target Max Length to U4 
["&amp;$B$2&amp;"]"</f>
        <v>#REF!</v>
      </c>
      <c r="Z53" s="131" t="e">
        <f>"Routed Too Short to U4 [" &amp;$B$2&amp;"]"</f>
        <v>#REF!</v>
      </c>
      <c r="AA53" s="130" t="e">
        <f>"Routed Too Long to U4 [" &amp;$B$2&amp;"]"</f>
        <v>#REF!</v>
      </c>
      <c r="AK53" s="192" t="s">
        <v>79</v>
      </c>
      <c r="AL53" s="129" t="e">
        <f>"L9-2 Length Test (&lt;=" &amp; IF($B$2="mil",1,0.0254)*1250&amp;$B$2&amp;")"</f>
        <v>#REF!</v>
      </c>
      <c r="AN53" s="132" t="e">
        <f>"L10-4 Length Test (&lt;=" &amp; IF($B$2="mil",1,0.0254)*150&amp;$B$2&amp;") or (L9-2+L10-4&lt;= "&amp;IF($B$2="mil",1,0.0254)*1400&amp;$B$2&amp;")"</f>
        <v>#REF!</v>
      </c>
      <c r="AO53" s="129" t="e">
        <f>"Total Length to U4 (L0+L1+L2+S1+L5+Rs+L6+L7+L8-2+L9-2+L10-4)Test
 ("&amp;IF($B$2="mil",1,0.0254)*500&amp;"-"&amp;IF($B$2="mil",1,0.0254)*7500&amp;IF($B$2="mil","mil","mm")&amp;")"</f>
        <v>#REF!</v>
      </c>
      <c r="AP53" s="129" t="e">
        <f>"Total Length to U4 (P1+L0+L1+L2+S1+L5+Rs+L6+L7+L8-2+L9-2+L10-4) Test
 (&lt;="&amp;IF($B$2="mil",1,25.4)*8000&amp;IF($B$2="mil","mil","mm")&amp;")"</f>
        <v>#REF!</v>
      </c>
      <c r="AS53" s="4"/>
    </row>
    <row r="54" spans="19:45" x14ac:dyDescent="0.2">
      <c r="S54" s="140" t="s">
        <v>67</v>
      </c>
      <c r="T54" s="143"/>
      <c r="U54" s="143"/>
      <c r="V54" s="146"/>
      <c r="W54" s="340" t="s">
        <v>273</v>
      </c>
      <c r="X54" s="209" t="e">
        <f>MIN('DDR2 Clocks - 4L'!$O$17:$O$18)</f>
        <v>#REF!</v>
      </c>
      <c r="Y54" s="209" t="e">
        <f>MAX('DDR2 Clocks - 4L'!$O$17:$O$18)</f>
        <v>#REF!</v>
      </c>
      <c r="Z54" s="360"/>
      <c r="AA54" s="209"/>
      <c r="AK54" s="140" t="s">
        <v>67</v>
      </c>
      <c r="AL54" s="154"/>
      <c r="AN54" s="153"/>
      <c r="AO54" s="153"/>
      <c r="AP54" s="154"/>
    </row>
    <row r="55" spans="19:45" x14ac:dyDescent="0.2">
      <c r="S55" s="134" t="s">
        <v>425</v>
      </c>
      <c r="T55" s="157"/>
      <c r="U55" s="157"/>
      <c r="V55" s="158"/>
      <c r="W55" s="158"/>
      <c r="X55" s="349"/>
      <c r="Y55" s="355"/>
      <c r="Z55" s="355"/>
      <c r="AA55" s="349"/>
      <c r="AK55" s="134" t="s">
        <v>280</v>
      </c>
      <c r="AL55" s="308"/>
      <c r="AN55" s="159"/>
      <c r="AO55" s="159"/>
      <c r="AP55" s="206"/>
    </row>
    <row r="56" spans="19:45" x14ac:dyDescent="0.2">
      <c r="S56" s="161" t="s">
        <v>73</v>
      </c>
      <c r="T56" s="271">
        <v>566.49</v>
      </c>
      <c r="U56" s="169">
        <v>26.29</v>
      </c>
      <c r="V56" s="166">
        <f>SUM($E20:$H20,$M20,$N20,$Q20,$R20,$T44,T56,$U56)</f>
        <v>4018.1000000000004</v>
      </c>
      <c r="W56" s="166">
        <f>$V56+$C20</f>
        <v>4826</v>
      </c>
      <c r="X56" s="172" t="e">
        <f>MAX($X$54:$Y$54) + IF($B$2="mil",1,0.0254)*DDR2Specs!$E$6</f>
        <v>#REF!</v>
      </c>
      <c r="Y56" s="172" t="e">
        <f>MIN($X$54:$Y$54) + IF($B$2="mil",1,0.0254)*DDR2Specs!$F$6</f>
        <v>#REF!</v>
      </c>
      <c r="Z56" s="173" t="e">
        <f>IF($W56&lt;$X56,$X56-$W56,"Pass")</f>
        <v>#REF!</v>
      </c>
      <c r="AA56" s="174" t="e">
        <f>IF($W56&gt;$Y56,$W56-$Y56,"Pass")</f>
        <v>#REF!</v>
      </c>
      <c r="AK56" s="161" t="s">
        <v>73</v>
      </c>
      <c r="AL56" s="307" t="e">
        <f>IF(T56&lt;=IF($B$2="mil",1,0.0254)*1250,"Pass",IF($B$2="mil",1,0.0254)*1250-T56)</f>
        <v>#REF!</v>
      </c>
      <c r="AN56" s="176" t="e">
        <f ca="1">CheckLength2(1400,T56,U56,0)</f>
        <v>#NAME?</v>
      </c>
      <c r="AO56" s="176" t="e">
        <f>IF(AND(V56&gt;=IF($B$2="mil",1,0.0254)*500, $V56&lt;=IF($B$2="mil",1,0.0254)*7500),"Pass",IF($B$2="mil",1,0.0254)*7500-$V56)</f>
        <v>#REF!</v>
      </c>
      <c r="AP56" s="238" t="e">
        <f>IF(AND($W56&gt;=IF($B$2="mil",1,0.0254)*500, $W56&lt;=IF($B$2="mil",1,0.0254)*8000),"Pass",IF($B$2="mil",1,0.0254)*8000-$W56)</f>
        <v>#REF!</v>
      </c>
      <c r="AQ56" s="4" t="e">
        <f ca="1">IF(AND(Z56="Pass",AA56="Pass",AL56="Pass",AN56="Pass",AO56="Pass",AP56="Pass"),"Pass","Fail")</f>
        <v>#REF!</v>
      </c>
    </row>
    <row r="57" spans="19:45" x14ac:dyDescent="0.2">
      <c r="S57" s="161" t="s">
        <v>75</v>
      </c>
      <c r="T57" s="271">
        <v>554.57000000000005</v>
      </c>
      <c r="U57" s="169">
        <v>31.52</v>
      </c>
      <c r="V57" s="166">
        <f>SUM($E21:$H21,$M21,$N21,$Q21,$R21,$T45,T57,$U57)</f>
        <v>3948.31</v>
      </c>
      <c r="W57" s="172">
        <f>$V57+$C21</f>
        <v>4317.3099999999995</v>
      </c>
      <c r="X57" s="172" t="e">
        <f>MAX($X$54:$Y$54) + IF($B$2="mil",1,0.0254)*DDR2Specs!$E$6</f>
        <v>#REF!</v>
      </c>
      <c r="Y57" s="172" t="e">
        <f>MIN($X$54:$Y$54) + IF($B$2="mil",1,0.0254)*DDR2Specs!$F$6</f>
        <v>#REF!</v>
      </c>
      <c r="Z57" s="173" t="e">
        <f>IF($W57&lt;$X57,$X57-$W57,"Pass")</f>
        <v>#REF!</v>
      </c>
      <c r="AA57" s="174" t="e">
        <f>IF($W57&gt;$Y57,$W57-$Y57,"Pass")</f>
        <v>#REF!</v>
      </c>
      <c r="AK57" s="161" t="s">
        <v>75</v>
      </c>
      <c r="AL57" s="307" t="e">
        <f>IF(T57&lt;=IF($B$2="mil",1,0.0254)*1250,"Pass",IF($B$2="mil",1,0.0254)*1250-T57)</f>
        <v>#REF!</v>
      </c>
      <c r="AN57" s="176" t="e">
        <f ca="1">CheckLength2(1400,T57,U57,0)</f>
        <v>#NAME?</v>
      </c>
      <c r="AO57" s="176" t="e">
        <f>IF(AND(V57&gt;=IF($B$2="mil",1,0.0254)*500, $V57&lt;=IF($B$2="mil",1,0.0254)*7500),"Pass",IF($B$2="mil",1,0.0254)*7500-$V57)</f>
        <v>#REF!</v>
      </c>
      <c r="AP57" s="238" t="e">
        <f>IF(AND($W57&gt;=IF($B$2="mil",1,0.0254)*500, $W57&lt;=IF($B$2="mil",1,0.0254)*8000),"Pass",IF($B$2="mil",1,0.0254)*8000-$W57)</f>
        <v>#REF!</v>
      </c>
      <c r="AQ57" s="4" t="e">
        <f ca="1">IF(AND(Z57="Pass",AA57="Pass",AL57="Pass",AN57="Pass",AO57="Pass",AP57="Pass"),"Pass","Fail")</f>
        <v>#REF!</v>
      </c>
    </row>
    <row r="58" spans="19:45" x14ac:dyDescent="0.2">
      <c r="S58" s="161" t="s">
        <v>77</v>
      </c>
      <c r="T58" s="271">
        <v>496.08</v>
      </c>
      <c r="U58" s="169">
        <v>76.06</v>
      </c>
      <c r="V58" s="166">
        <f>SUM($E22:$H22,$M22,$N22,$Q22,$R22,$T46,T58,$U58)</f>
        <v>3935.1299999999997</v>
      </c>
      <c r="W58" s="172">
        <f>$V58+$C22</f>
        <v>4197.33</v>
      </c>
      <c r="X58" s="172" t="e">
        <f>MAX($X$54:$Y$54) + IF($B$2="mil",1,0.0254)*DDR2Specs!$E$6</f>
        <v>#REF!</v>
      </c>
      <c r="Y58" s="172" t="e">
        <f>MIN($X$54:$Y$54) + IF($B$2="mil",1,0.0254)*DDR2Specs!$F$6</f>
        <v>#REF!</v>
      </c>
      <c r="Z58" s="173" t="e">
        <f>IF($W58&lt;$X58,$X58-$W58,"Pass")</f>
        <v>#REF!</v>
      </c>
      <c r="AA58" s="174" t="e">
        <f>IF($W58&gt;$Y58,$W58-$Y58,"Pass")</f>
        <v>#REF!</v>
      </c>
      <c r="AK58" s="161" t="s">
        <v>77</v>
      </c>
      <c r="AL58" s="307" t="e">
        <f>IF(T58&lt;=IF($B$2="mil",1,0.0254)*1250,"Pass",IF($B$2="mil",1,0.0254)*1250-T58)</f>
        <v>#REF!</v>
      </c>
      <c r="AN58" s="176" t="e">
        <f ca="1">CheckLength2(1400,T58,U58,0)</f>
        <v>#NAME?</v>
      </c>
      <c r="AO58" s="176" t="e">
        <f>IF(AND(V58&gt;=IF($B$2="mil",1,0.0254)*500, $V58&lt;=IF($B$2="mil",1,0.0254)*7500),"Pass",IF($B$2="mil",1,0.0254)*7500-$V58)</f>
        <v>#REF!</v>
      </c>
      <c r="AP58" s="238" t="e">
        <f>IF(AND($W58&gt;=IF($B$2="mil",1,0.0254)*500, $W58&lt;=IF($B$2="mil",1,0.0254)*8000),"Pass",IF($B$2="mil",1,0.0254)*8000-$W58)</f>
        <v>#REF!</v>
      </c>
      <c r="AQ58" s="4" t="e">
        <f ca="1">IF(AND(Z58="Pass",AA58="Pass",AL58="Pass",AN58="Pass",AO58="Pass",AP58="Pass"),"Pass","Fail")</f>
        <v>#REF!</v>
      </c>
    </row>
    <row r="59" spans="19:45" ht="33.75" x14ac:dyDescent="0.2">
      <c r="S59" s="123" t="s">
        <v>79</v>
      </c>
      <c r="T59" s="123" t="e">
        <f>"Trace L9-2 ["&amp;$B$2&amp;"]"</f>
        <v>#REF!</v>
      </c>
      <c r="U59" s="123" t="e">
        <f>"Trace L10-4 ["&amp;$B$2&amp;"]"</f>
        <v>#REF!</v>
      </c>
      <c r="V59" s="123" t="s">
        <v>433</v>
      </c>
      <c r="W59" s="123" t="s">
        <v>434</v>
      </c>
      <c r="X59" s="129" t="e">
        <f>"Target Min Length to U8
["&amp;$B$2&amp;"]"</f>
        <v>#REF!</v>
      </c>
      <c r="Y59" s="129" t="e">
        <f>"Target Max Length to U8 
["&amp;$B$2&amp;"]"</f>
        <v>#REF!</v>
      </c>
      <c r="Z59" s="359" t="e">
        <f>"Routed Too Short to U8 [" &amp;$B$2&amp;"]"</f>
        <v>#REF!</v>
      </c>
      <c r="AA59" s="129" t="e">
        <f>"Routed Too Long to U8 [" &amp;$B$2&amp;"]"</f>
        <v>#REF!</v>
      </c>
      <c r="AK59" s="123" t="s">
        <v>79</v>
      </c>
      <c r="AL59" s="129" t="e">
        <f>"L9-2 Length Test (&lt;=" &amp; IF($B$2="mil",1,0.0254)*1250&amp;$B$2&amp;")"</f>
        <v>#REF!</v>
      </c>
      <c r="AN59" s="132" t="e">
        <f>"L10-4 Length Test (&lt;=" &amp; IF($B$2="mil",1,0.0254)*150&amp;$B$2&amp;") or (L9-2+L10-4&lt;= "&amp;IF($B$2="mil",1,0.0254)*1400&amp;$B$2&amp;")"</f>
        <v>#REF!</v>
      </c>
      <c r="AO59" s="129" t="e">
        <f>"Total Length to U8 (L0+L1+L2+S1+L5+Rs+L6+L7+L8-2+L9-2+L10-4)Test
 ("&amp;IF($B$2="mil",1,0.0254)*500&amp;"-"&amp;IF($B$2="mil",1,0.0254)*7500&amp;IF($B$2="mil","mil","mm")&amp;")"</f>
        <v>#REF!</v>
      </c>
      <c r="AP59" s="129" t="e">
        <f>"Total Length to U8 (P1+L0+L1+L2+S1+L5+Rs+L6+L7+L8-2+L9-2+L10-4) Test
 (&lt;="&amp;IF($B$2="mil",1,25.4)*8000&amp;IF($B$2="mil","mil","mm")&amp;")"</f>
        <v>#REF!</v>
      </c>
      <c r="AS59" s="4"/>
    </row>
    <row r="60" spans="19:45" x14ac:dyDescent="0.2">
      <c r="S60" s="140" t="s">
        <v>67</v>
      </c>
      <c r="T60" s="143"/>
      <c r="U60" s="143"/>
      <c r="V60" s="346"/>
      <c r="W60" s="210" t="s">
        <v>335</v>
      </c>
      <c r="X60" s="149" t="e">
        <f>MIN('DDR2 Clocks - 4L'!$O$19:$O$20)</f>
        <v>#REF!</v>
      </c>
      <c r="Y60" s="347" t="e">
        <f>MAX('DDR2 Clocks - 4L'!$O$19:$O$20)</f>
        <v>#REF!</v>
      </c>
      <c r="Z60" s="151"/>
      <c r="AA60" s="149"/>
      <c r="AK60" s="140" t="s">
        <v>67</v>
      </c>
      <c r="AL60" s="362"/>
      <c r="AN60" s="361"/>
      <c r="AO60" s="361"/>
      <c r="AP60" s="362"/>
    </row>
    <row r="61" spans="19:45" x14ac:dyDescent="0.2">
      <c r="S61" s="134" t="s">
        <v>426</v>
      </c>
      <c r="T61" s="157"/>
      <c r="U61" s="157"/>
      <c r="V61" s="158"/>
      <c r="W61" s="159"/>
      <c r="X61" s="159"/>
      <c r="Y61" s="160"/>
      <c r="Z61" s="160"/>
      <c r="AA61" s="159"/>
      <c r="AK61" s="134" t="s">
        <v>280</v>
      </c>
      <c r="AL61" s="308"/>
      <c r="AN61" s="159"/>
      <c r="AO61" s="159"/>
      <c r="AP61" s="206"/>
    </row>
    <row r="62" spans="19:45" x14ac:dyDescent="0.2">
      <c r="S62" s="161" t="s">
        <v>74</v>
      </c>
      <c r="T62" s="271">
        <v>566.49</v>
      </c>
      <c r="U62" s="169">
        <v>26.29</v>
      </c>
      <c r="V62" s="166">
        <f>SUM($E26:$H26,$M26,$N26,$Q26,$R26,$T50,T62,$U62)</f>
        <v>4018.1000000000004</v>
      </c>
      <c r="W62" s="166">
        <f>$V62+$C26</f>
        <v>4797.1000000000004</v>
      </c>
      <c r="X62" s="172" t="e">
        <f>MAX($X$54:$Y$54) + IF($B$2="mil",1,0.0254)*DDR2Specs!$E$6</f>
        <v>#REF!</v>
      </c>
      <c r="Y62" s="172" t="e">
        <f>MIN($X$54:$Y$54) + IF($B$2="mil",1,0.0254)*DDR2Specs!$F$6</f>
        <v>#REF!</v>
      </c>
      <c r="Z62" s="173" t="e">
        <f>IF($W62&lt;$X62,$X62-$W62,"Pass")</f>
        <v>#REF!</v>
      </c>
      <c r="AA62" s="174" t="e">
        <f>IF($W62&gt;$Y62,$W62-$Y62,"Pass")</f>
        <v>#REF!</v>
      </c>
      <c r="AK62" s="161" t="s">
        <v>74</v>
      </c>
      <c r="AL62" s="307" t="e">
        <f>IF(T62&lt;=IF($B$2="mil",1,0.0254)*1250,"Pass",IF($B$2="mil",1,0.0254)*1250-T62)</f>
        <v>#REF!</v>
      </c>
      <c r="AN62" s="176" t="e">
        <f ca="1">CheckLength2(1400,T62,U62,0)</f>
        <v>#NAME?</v>
      </c>
      <c r="AO62" s="176" t="e">
        <f>IF(AND(V62&gt;=IF($B$2="mil",1,0.0254)*500, $V62&lt;=IF($B$2="mil",1,0.0254)*7500),"Pass",IF($B$2="mil",1,0.0254)*7500-$V62)</f>
        <v>#REF!</v>
      </c>
      <c r="AP62" s="238" t="e">
        <f>IF(AND($W62&gt;=IF($B$2="mil",1,0.0254)*500, $W62&lt;=IF($B$2="mil",1,0.0254)*8000),"Pass",IF($B$2="mil",1,0.0254)*8000-$W62)</f>
        <v>#REF!</v>
      </c>
      <c r="AQ62" s="4" t="e">
        <f ca="1">IF(AND(Z62="Pass",AA62="Pass",AL62="Pass",AN62="Pass",AO62="Pass",AP62="Pass"),"Pass","Fail")</f>
        <v>#REF!</v>
      </c>
    </row>
    <row r="63" spans="19:45" x14ac:dyDescent="0.2">
      <c r="S63" s="161" t="s">
        <v>76</v>
      </c>
      <c r="T63" s="271">
        <v>554.57000000000005</v>
      </c>
      <c r="U63" s="169">
        <v>31.52</v>
      </c>
      <c r="V63" s="166">
        <f>SUM($E27:$H27,$M27,$N27,$Q27,$R27,$T51,T63,$U63)</f>
        <v>3948.31</v>
      </c>
      <c r="W63" s="166">
        <f>$V63+$C27</f>
        <v>4215.51</v>
      </c>
      <c r="X63" s="172" t="e">
        <f>MAX($X$54:$Y$54) + IF($B$2="mil",1,0.0254)*DDR2Specs!$E$6</f>
        <v>#REF!</v>
      </c>
      <c r="Y63" s="172" t="e">
        <f>MIN($X$54:$Y$54) + IF($B$2="mil",1,0.0254)*DDR2Specs!$F$6</f>
        <v>#REF!</v>
      </c>
      <c r="Z63" s="173" t="e">
        <f>IF($W63&lt;$X63,$X63-$W63,"Pass")</f>
        <v>#REF!</v>
      </c>
      <c r="AA63" s="174" t="e">
        <f>IF($W63&gt;$Y63,$W63-$Y63,"Pass")</f>
        <v>#REF!</v>
      </c>
      <c r="AK63" s="161" t="s">
        <v>76</v>
      </c>
      <c r="AL63" s="307" t="e">
        <f>IF(T63&lt;=IF($B$2="mil",1,0.0254)*1250,"Pass",IF($B$2="mil",1,0.0254)*1250-T63)</f>
        <v>#REF!</v>
      </c>
      <c r="AN63" s="176" t="e">
        <f ca="1">CheckLength2(1400,T63,U63,0)</f>
        <v>#NAME?</v>
      </c>
      <c r="AO63" s="176" t="e">
        <f>IF(AND(V63&gt;=IF($B$2="mil",1,0.0254)*500, $V63&lt;=IF($B$2="mil",1,0.0254)*7500),"Pass",IF($B$2="mil",1,0.0254)*7500-$V63)</f>
        <v>#REF!</v>
      </c>
      <c r="AP63" s="238" t="e">
        <f>IF(AND($W63&gt;=IF($B$2="mil",1,0.0254)*500, $W63&lt;=IF($B$2="mil",1,0.0254)*8000),"Pass",IF($B$2="mil",1,0.0254)*8000-$W63)</f>
        <v>#REF!</v>
      </c>
      <c r="AQ63" s="4" t="e">
        <f ca="1">IF(AND(Z63="Pass",AA63="Pass",AL63="Pass",AN63="Pass",AO63="Pass",AP63="Pass"),"Pass","Fail")</f>
        <v>#REF!</v>
      </c>
    </row>
    <row r="64" spans="19:45" x14ac:dyDescent="0.2">
      <c r="S64" s="161" t="s">
        <v>78</v>
      </c>
      <c r="T64" s="271">
        <v>496.08</v>
      </c>
      <c r="U64" s="169">
        <v>76.06</v>
      </c>
      <c r="V64" s="166">
        <f>SUM($E28:$H28,$M28,$N28,$Q28,$R28,$T52,T64,$U64)</f>
        <v>3935.1299999999997</v>
      </c>
      <c r="W64" s="166">
        <f>$V64+$C28</f>
        <v>4261.53</v>
      </c>
      <c r="X64" s="172" t="e">
        <f>MAX($X$54:$Y$54) + IF($B$2="mil",1,0.0254)*DDR2Specs!$E$6</f>
        <v>#REF!</v>
      </c>
      <c r="Y64" s="172" t="e">
        <f>MIN($X$54:$Y$54) + IF($B$2="mil",1,0.0254)*DDR2Specs!$F$6</f>
        <v>#REF!</v>
      </c>
      <c r="Z64" s="173" t="e">
        <f>IF($W64&lt;$X64,$X64-$W64,"Pass")</f>
        <v>#REF!</v>
      </c>
      <c r="AA64" s="174" t="e">
        <f>IF($W64&gt;$Y64,$W64-$Y64,"Pass")</f>
        <v>#REF!</v>
      </c>
      <c r="AK64" s="161" t="s">
        <v>78</v>
      </c>
      <c r="AL64" s="307" t="e">
        <f>IF(T64&lt;=IF($B$2="mil",1,0.0254)*1250,"Pass",IF($B$2="mil",1,0.0254)*1250-T64)</f>
        <v>#REF!</v>
      </c>
      <c r="AN64" s="176" t="e">
        <f ca="1">CheckLength2(1400,T64,U64,0)</f>
        <v>#NAME?</v>
      </c>
      <c r="AO64" s="176" t="e">
        <f>IF(AND(V64&gt;=IF($B$2="mil",1,0.0254)*500, $V64&lt;=IF($B$2="mil",1,0.0254)*7500),"Pass",IF($B$2="mil",1,0.0254)*7500-$V64)</f>
        <v>#REF!</v>
      </c>
      <c r="AP64" s="238" t="e">
        <f>IF(AND($W64&gt;=IF($B$2="mil",1,0.0254)*500, $W64&lt;=IF($B$2="mil",1,0.0254)*8000),"Pass",IF($B$2="mil",1,0.0254)*8000-$W64)</f>
        <v>#REF!</v>
      </c>
      <c r="AQ64" s="4" t="e">
        <f ca="1">IF(AND(Z64="Pass",AA64="Pass",AL64="Pass",AN64="Pass",AO64="Pass",AP64="Pass"),"Pass","Fail")</f>
        <v>#REF!</v>
      </c>
    </row>
  </sheetData>
  <sheetProtection password="D843" sheet="1" objects="1" scenarios="1"/>
  <protectedRanges>
    <protectedRange sqref="T44:U46 T50:U52 T62:U64 T56:U58" name="DDR2_CONTROL_4L_2"/>
    <protectedRange sqref="L10:L11 L7:L8 L13:L14 D7:I8 D10:I11 D13:I14 T44 T28:U28 D26:U27 U32:U34 U38:U40 D28:S29 D20:U22" name="DDR2Control"/>
  </protectedRanges>
  <mergeCells count="2">
    <mergeCell ref="A1:E1"/>
    <mergeCell ref="F1:G1"/>
  </mergeCells>
  <phoneticPr fontId="4" type="noConversion"/>
  <conditionalFormatting sqref="A1 F1:AB1">
    <cfRule type="expression" dxfId="95" priority="5" stopIfTrue="1">
      <formula>$F$1 = "Fail"</formula>
    </cfRule>
    <cfRule type="expression" dxfId="94" priority="6" stopIfTrue="1">
      <formula>$F$1 = "Pass"</formula>
    </cfRule>
  </conditionalFormatting>
  <conditionalFormatting sqref="S7:T8 V7:AA8 S10:T11 V10:AA11 S13:T14 V13:AA14 Z20:AA22 AC20:AP22 Z26:AA28 AM26:AP28 AC26:AL29 Z32:AA34 AN32:AP34 Z38:AA40 AN38:AP40 Z44:AA46 AJ44:AJ46 AN44:AP46 Z50:AA52 AJ50:AJ52 AN50:AP52 Z56:AA58 AL56:AL58 AN56:AP58 Z62:AA64 AL62:AL64 AN62:AP64">
    <cfRule type="cellIs" priority="1" stopIfTrue="1" operator="equal">
      <formula>"Pass"</formula>
    </cfRule>
    <cfRule type="cellIs" dxfId="93" priority="2" stopIfTrue="1" operator="notEqual">
      <formula>"Pass"</formula>
    </cfRule>
  </conditionalFormatting>
  <conditionalFormatting sqref="U7:U8 U10:U11 U13:U14 AB20:AB22 AB26:AB29">
    <cfRule type="cellIs" dxfId="92" priority="3" stopIfTrue="1" operator="equal">
      <formula>"Pass"</formula>
    </cfRule>
    <cfRule type="cellIs" dxfId="91" priority="4" stopIfTrue="1" operator="notEqual">
      <formula>"Pass"</formula>
    </cfRule>
  </conditionalFormatting>
  <pageMargins left="0.75" right="0.75" top="1" bottom="1" header="0.5" footer="0.5"/>
  <pageSetup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tabColor rgb="FFFFFF00"/>
  </sheetPr>
  <dimension ref="A1:L170"/>
  <sheetViews>
    <sheetView topLeftCell="A37" workbookViewId="0">
      <selection activeCell="F4" sqref="F4:F66"/>
    </sheetView>
  </sheetViews>
  <sheetFormatPr defaultColWidth="10.28515625" defaultRowHeight="16.5" x14ac:dyDescent="0.25"/>
  <cols>
    <col min="1" max="1" width="25.7109375" style="619" customWidth="1"/>
    <col min="2" max="2" width="18.85546875" style="619" customWidth="1"/>
    <col min="3" max="3" width="23.28515625" style="619" customWidth="1"/>
    <col min="4" max="4" width="17.42578125" style="619" customWidth="1"/>
    <col min="5" max="5" width="26.140625" style="619" customWidth="1"/>
    <col min="6" max="6" width="23.42578125" style="619" customWidth="1"/>
    <col min="7" max="7" width="19" style="619" customWidth="1"/>
    <col min="8" max="8" width="13.7109375" style="619" customWidth="1"/>
    <col min="9" max="9" width="29.85546875" style="619" customWidth="1"/>
    <col min="10" max="10" width="11.7109375" style="619" customWidth="1"/>
    <col min="11" max="11" width="15.140625" style="619" customWidth="1"/>
    <col min="12" max="12" width="18.140625" style="619" customWidth="1"/>
    <col min="13" max="16384" width="10.28515625" style="619"/>
  </cols>
  <sheetData>
    <row r="1" spans="1:12" ht="28.5" thickBot="1" x14ac:dyDescent="0.45">
      <c r="A1" s="900" t="s">
        <v>656</v>
      </c>
      <c r="B1" s="900"/>
      <c r="C1" s="900"/>
      <c r="D1" s="620"/>
      <c r="E1" s="620"/>
      <c r="F1" s="620"/>
      <c r="I1" s="620"/>
    </row>
    <row r="2" spans="1:12" s="626" customFormat="1" ht="34.5" thickTop="1" thickBot="1" x14ac:dyDescent="0.25">
      <c r="A2" s="644" t="s">
        <v>702</v>
      </c>
      <c r="B2" s="661" t="s">
        <v>1038</v>
      </c>
      <c r="C2" s="654" t="s">
        <v>3</v>
      </c>
      <c r="D2" s="655" t="s">
        <v>1039</v>
      </c>
      <c r="E2" s="655" t="s">
        <v>759</v>
      </c>
      <c r="F2" s="656" t="s">
        <v>758</v>
      </c>
      <c r="G2" s="657" t="s">
        <v>2</v>
      </c>
      <c r="H2" s="654" t="s">
        <v>738</v>
      </c>
      <c r="I2" s="654" t="s">
        <v>4</v>
      </c>
      <c r="J2" s="654" t="s">
        <v>736</v>
      </c>
      <c r="K2" s="654" t="s">
        <v>705</v>
      </c>
      <c r="L2" s="658" t="s">
        <v>756</v>
      </c>
    </row>
    <row r="3" spans="1:12" ht="18" thickTop="1" thickBot="1" x14ac:dyDescent="0.3">
      <c r="A3" s="723" t="s">
        <v>658</v>
      </c>
      <c r="B3" s="812" t="s">
        <v>1040</v>
      </c>
      <c r="C3" s="659">
        <v>5000</v>
      </c>
      <c r="D3" s="1037">
        <v>2156.8000000000002</v>
      </c>
      <c r="E3" s="680">
        <f t="shared" ref="E3:E34" si="0">C3-D3</f>
        <v>2843.2</v>
      </c>
      <c r="F3" s="616"/>
      <c r="G3" s="645" t="s">
        <v>659</v>
      </c>
      <c r="H3" s="616"/>
      <c r="I3" s="888" t="s">
        <v>660</v>
      </c>
      <c r="J3" s="891">
        <v>2</v>
      </c>
      <c r="K3" s="894" t="s">
        <v>873</v>
      </c>
      <c r="L3" s="897">
        <v>20</v>
      </c>
    </row>
    <row r="4" spans="1:12" ht="18" customHeight="1" thickTop="1" thickBot="1" x14ac:dyDescent="0.3">
      <c r="A4" s="724" t="s">
        <v>661</v>
      </c>
      <c r="B4" s="813" t="s">
        <v>1041</v>
      </c>
      <c r="C4" s="659">
        <v>5000</v>
      </c>
      <c r="D4" s="1038">
        <v>2158.3000000000002</v>
      </c>
      <c r="E4" s="681">
        <f t="shared" si="0"/>
        <v>2841.7</v>
      </c>
      <c r="F4" s="612"/>
      <c r="G4" s="646">
        <f>F3-F4</f>
        <v>0</v>
      </c>
      <c r="H4" s="612"/>
      <c r="I4" s="889"/>
      <c r="J4" s="892"/>
      <c r="K4" s="895"/>
      <c r="L4" s="898"/>
    </row>
    <row r="5" spans="1:12" ht="18" thickTop="1" thickBot="1" x14ac:dyDescent="0.3">
      <c r="A5" s="723" t="s">
        <v>662</v>
      </c>
      <c r="B5" s="812" t="s">
        <v>1042</v>
      </c>
      <c r="C5" s="659">
        <v>5000</v>
      </c>
      <c r="D5" s="1037">
        <v>1989.31</v>
      </c>
      <c r="E5" s="680">
        <f t="shared" si="0"/>
        <v>3010.69</v>
      </c>
      <c r="F5" s="616"/>
      <c r="G5" s="645">
        <f>F3-F5</f>
        <v>0</v>
      </c>
      <c r="H5" s="616"/>
      <c r="I5" s="889"/>
      <c r="J5" s="892"/>
      <c r="K5" s="895"/>
      <c r="L5" s="898"/>
    </row>
    <row r="6" spans="1:12" ht="18" thickTop="1" thickBot="1" x14ac:dyDescent="0.3">
      <c r="A6" s="724" t="s">
        <v>663</v>
      </c>
      <c r="B6" s="813" t="s">
        <v>1043</v>
      </c>
      <c r="C6" s="659">
        <v>5000</v>
      </c>
      <c r="D6" s="1038">
        <v>1990.43</v>
      </c>
      <c r="E6" s="681">
        <f t="shared" si="0"/>
        <v>3009.5699999999997</v>
      </c>
      <c r="F6" s="612"/>
      <c r="G6" s="646">
        <f>F5-F6</f>
        <v>0</v>
      </c>
      <c r="H6" s="612"/>
      <c r="I6" s="889"/>
      <c r="J6" s="892"/>
      <c r="K6" s="895"/>
      <c r="L6" s="898"/>
    </row>
    <row r="7" spans="1:12" ht="18" thickTop="1" thickBot="1" x14ac:dyDescent="0.3">
      <c r="A7" s="723" t="s">
        <v>664</v>
      </c>
      <c r="B7" s="812" t="s">
        <v>1044</v>
      </c>
      <c r="C7" s="659">
        <v>5000</v>
      </c>
      <c r="D7" s="1037">
        <v>1796.7</v>
      </c>
      <c r="E7" s="680">
        <f t="shared" si="0"/>
        <v>3203.3</v>
      </c>
      <c r="F7" s="616"/>
      <c r="G7" s="645">
        <f>F3-F7</f>
        <v>0</v>
      </c>
      <c r="H7" s="616"/>
      <c r="I7" s="889"/>
      <c r="J7" s="892"/>
      <c r="K7" s="895"/>
      <c r="L7" s="898"/>
    </row>
    <row r="8" spans="1:12" ht="18" thickTop="1" thickBot="1" x14ac:dyDescent="0.3">
      <c r="A8" s="724" t="s">
        <v>665</v>
      </c>
      <c r="B8" s="813" t="s">
        <v>1045</v>
      </c>
      <c r="C8" s="659">
        <v>5000</v>
      </c>
      <c r="D8" s="1038">
        <v>1796.19</v>
      </c>
      <c r="E8" s="681">
        <f t="shared" si="0"/>
        <v>3203.81</v>
      </c>
      <c r="F8" s="612"/>
      <c r="G8" s="646">
        <f>F7-F8</f>
        <v>0</v>
      </c>
      <c r="H8" s="612"/>
      <c r="I8" s="889"/>
      <c r="J8" s="892"/>
      <c r="K8" s="895"/>
      <c r="L8" s="898"/>
    </row>
    <row r="9" spans="1:12" ht="18" thickTop="1" thickBot="1" x14ac:dyDescent="0.3">
      <c r="A9" s="723" t="s">
        <v>666</v>
      </c>
      <c r="B9" s="812" t="s">
        <v>1046</v>
      </c>
      <c r="C9" s="659">
        <v>5000</v>
      </c>
      <c r="D9" s="1037">
        <v>2038.29</v>
      </c>
      <c r="E9" s="680">
        <f t="shared" si="0"/>
        <v>2961.71</v>
      </c>
      <c r="F9" s="616"/>
      <c r="G9" s="645">
        <f>F3-F9</f>
        <v>0</v>
      </c>
      <c r="H9" s="616"/>
      <c r="I9" s="889"/>
      <c r="J9" s="892"/>
      <c r="K9" s="895"/>
      <c r="L9" s="898"/>
    </row>
    <row r="10" spans="1:12" ht="18" thickTop="1" thickBot="1" x14ac:dyDescent="0.3">
      <c r="A10" s="724" t="s">
        <v>667</v>
      </c>
      <c r="B10" s="813" t="s">
        <v>1047</v>
      </c>
      <c r="C10" s="659">
        <v>5000</v>
      </c>
      <c r="D10" s="1038">
        <v>2036.83</v>
      </c>
      <c r="E10" s="681">
        <f t="shared" si="0"/>
        <v>2963.17</v>
      </c>
      <c r="F10" s="612"/>
      <c r="G10" s="646">
        <f>F9-F10</f>
        <v>0</v>
      </c>
      <c r="H10" s="612"/>
      <c r="I10" s="889"/>
      <c r="J10" s="892"/>
      <c r="K10" s="895"/>
      <c r="L10" s="898"/>
    </row>
    <row r="11" spans="1:12" ht="18" thickTop="1" thickBot="1" x14ac:dyDescent="0.3">
      <c r="A11" s="723" t="s">
        <v>668</v>
      </c>
      <c r="B11" s="812" t="s">
        <v>1048</v>
      </c>
      <c r="C11" s="659">
        <v>5000</v>
      </c>
      <c r="D11" s="1037">
        <v>2469.06</v>
      </c>
      <c r="E11" s="680">
        <f t="shared" si="0"/>
        <v>2530.94</v>
      </c>
      <c r="F11" s="615"/>
      <c r="G11" s="647">
        <f>F3-F11</f>
        <v>0</v>
      </c>
      <c r="H11" s="615"/>
      <c r="I11" s="889"/>
      <c r="J11" s="892"/>
      <c r="K11" s="895"/>
      <c r="L11" s="898"/>
    </row>
    <row r="12" spans="1:12" ht="18" thickTop="1" thickBot="1" x14ac:dyDescent="0.3">
      <c r="A12" s="724" t="s">
        <v>669</v>
      </c>
      <c r="B12" s="813" t="s">
        <v>1049</v>
      </c>
      <c r="C12" s="659">
        <v>5000</v>
      </c>
      <c r="D12" s="1038">
        <v>2467.36</v>
      </c>
      <c r="E12" s="681">
        <f t="shared" si="0"/>
        <v>2532.64</v>
      </c>
      <c r="F12" s="617"/>
      <c r="G12" s="648">
        <f>F11-F12</f>
        <v>0</v>
      </c>
      <c r="H12" s="617"/>
      <c r="I12" s="889"/>
      <c r="J12" s="892"/>
      <c r="K12" s="895"/>
      <c r="L12" s="898"/>
    </row>
    <row r="13" spans="1:12" ht="18" thickTop="1" thickBot="1" x14ac:dyDescent="0.3">
      <c r="A13" s="723" t="s">
        <v>670</v>
      </c>
      <c r="B13" s="812" t="s">
        <v>1050</v>
      </c>
      <c r="C13" s="659">
        <v>5000</v>
      </c>
      <c r="D13" s="1037">
        <v>2906.2</v>
      </c>
      <c r="E13" s="680">
        <f t="shared" si="0"/>
        <v>2093.8000000000002</v>
      </c>
      <c r="F13" s="616"/>
      <c r="G13" s="645">
        <f>F3-F13</f>
        <v>0</v>
      </c>
      <c r="H13" s="616"/>
      <c r="I13" s="889"/>
      <c r="J13" s="892"/>
      <c r="K13" s="895"/>
      <c r="L13" s="898"/>
    </row>
    <row r="14" spans="1:12" ht="18" thickTop="1" thickBot="1" x14ac:dyDescent="0.3">
      <c r="A14" s="724" t="s">
        <v>671</v>
      </c>
      <c r="B14" s="813" t="s">
        <v>1051</v>
      </c>
      <c r="C14" s="659">
        <v>5000</v>
      </c>
      <c r="D14" s="1038">
        <v>2906.49</v>
      </c>
      <c r="E14" s="681">
        <f t="shared" si="0"/>
        <v>2093.5100000000002</v>
      </c>
      <c r="F14" s="612"/>
      <c r="G14" s="646">
        <f>F13-F14</f>
        <v>0</v>
      </c>
      <c r="H14" s="612"/>
      <c r="I14" s="889"/>
      <c r="J14" s="892"/>
      <c r="K14" s="895"/>
      <c r="L14" s="898"/>
    </row>
    <row r="15" spans="1:12" ht="18" thickTop="1" thickBot="1" x14ac:dyDescent="0.3">
      <c r="A15" s="723" t="s">
        <v>672</v>
      </c>
      <c r="B15" s="812" t="s">
        <v>1052</v>
      </c>
      <c r="C15" s="659">
        <v>5000</v>
      </c>
      <c r="D15" s="1037">
        <v>3029.45</v>
      </c>
      <c r="E15" s="680">
        <f t="shared" si="0"/>
        <v>1970.5500000000002</v>
      </c>
      <c r="F15" s="615"/>
      <c r="G15" s="647">
        <f>F3-F15</f>
        <v>0</v>
      </c>
      <c r="H15" s="615"/>
      <c r="I15" s="889"/>
      <c r="J15" s="892"/>
      <c r="K15" s="895"/>
      <c r="L15" s="898"/>
    </row>
    <row r="16" spans="1:12" ht="18" thickTop="1" thickBot="1" x14ac:dyDescent="0.3">
      <c r="A16" s="724" t="s">
        <v>673</v>
      </c>
      <c r="B16" s="813" t="s">
        <v>1053</v>
      </c>
      <c r="C16" s="659">
        <v>5000</v>
      </c>
      <c r="D16" s="1039">
        <v>3029.45</v>
      </c>
      <c r="E16" s="681">
        <f t="shared" si="0"/>
        <v>1970.5500000000002</v>
      </c>
      <c r="F16" s="617"/>
      <c r="G16" s="648">
        <f>F15-F16</f>
        <v>0</v>
      </c>
      <c r="H16" s="617"/>
      <c r="I16" s="889"/>
      <c r="J16" s="892"/>
      <c r="K16" s="895"/>
      <c r="L16" s="898"/>
    </row>
    <row r="17" spans="1:12" ht="18" thickTop="1" thickBot="1" x14ac:dyDescent="0.3">
      <c r="A17" s="723" t="s">
        <v>674</v>
      </c>
      <c r="B17" s="812" t="s">
        <v>1054</v>
      </c>
      <c r="C17" s="659">
        <v>5000</v>
      </c>
      <c r="D17" s="1037">
        <v>3108.19</v>
      </c>
      <c r="E17" s="680">
        <f t="shared" si="0"/>
        <v>1891.81</v>
      </c>
      <c r="F17" s="616"/>
      <c r="G17" s="645">
        <f>F3-F17</f>
        <v>0</v>
      </c>
      <c r="H17" s="616"/>
      <c r="I17" s="889"/>
      <c r="J17" s="892"/>
      <c r="K17" s="895"/>
      <c r="L17" s="898"/>
    </row>
    <row r="18" spans="1:12" ht="18" thickTop="1" thickBot="1" x14ac:dyDescent="0.3">
      <c r="A18" s="724" t="s">
        <v>675</v>
      </c>
      <c r="B18" s="813" t="s">
        <v>1055</v>
      </c>
      <c r="C18" s="659">
        <v>5000</v>
      </c>
      <c r="D18" s="1039">
        <v>3109.21</v>
      </c>
      <c r="E18" s="681">
        <f t="shared" si="0"/>
        <v>1890.79</v>
      </c>
      <c r="F18" s="612"/>
      <c r="G18" s="646">
        <f>F17-F18</f>
        <v>0</v>
      </c>
      <c r="H18" s="612"/>
      <c r="I18" s="889"/>
      <c r="J18" s="892"/>
      <c r="K18" s="895"/>
      <c r="L18" s="898"/>
    </row>
    <row r="19" spans="1:12" ht="18" thickTop="1" thickBot="1" x14ac:dyDescent="0.3">
      <c r="A19" s="723" t="s">
        <v>676</v>
      </c>
      <c r="B19" s="812" t="s">
        <v>1056</v>
      </c>
      <c r="C19" s="659">
        <v>5000</v>
      </c>
      <c r="D19" s="1037">
        <v>3151.98</v>
      </c>
      <c r="E19" s="680">
        <f t="shared" si="0"/>
        <v>1848.02</v>
      </c>
      <c r="F19" s="616"/>
      <c r="G19" s="645">
        <f>F3-F19</f>
        <v>0</v>
      </c>
      <c r="H19" s="616"/>
      <c r="I19" s="889"/>
      <c r="J19" s="892"/>
      <c r="K19" s="895"/>
      <c r="L19" s="898"/>
    </row>
    <row r="20" spans="1:12" ht="18" thickTop="1" thickBot="1" x14ac:dyDescent="0.3">
      <c r="A20" s="724" t="s">
        <v>677</v>
      </c>
      <c r="B20" s="813" t="s">
        <v>1057</v>
      </c>
      <c r="C20" s="659">
        <v>5000</v>
      </c>
      <c r="D20" s="1039">
        <v>3151.84</v>
      </c>
      <c r="E20" s="681">
        <f t="shared" si="0"/>
        <v>1848.1599999999999</v>
      </c>
      <c r="F20" s="612"/>
      <c r="G20" s="646">
        <f>F19-F20</f>
        <v>0</v>
      </c>
      <c r="H20" s="612"/>
      <c r="I20" s="889"/>
      <c r="J20" s="892"/>
      <c r="K20" s="895"/>
      <c r="L20" s="898"/>
    </row>
    <row r="21" spans="1:12" ht="18" thickTop="1" thickBot="1" x14ac:dyDescent="0.3">
      <c r="A21" s="723" t="s">
        <v>678</v>
      </c>
      <c r="B21" s="812" t="s">
        <v>1058</v>
      </c>
      <c r="C21" s="659">
        <v>5000</v>
      </c>
      <c r="D21" s="1037">
        <v>3374.86</v>
      </c>
      <c r="E21" s="680">
        <f t="shared" si="0"/>
        <v>1625.1399999999999</v>
      </c>
      <c r="F21" s="616"/>
      <c r="G21" s="645">
        <f>F3-F21</f>
        <v>0</v>
      </c>
      <c r="H21" s="616"/>
      <c r="I21" s="889"/>
      <c r="J21" s="892"/>
      <c r="K21" s="895"/>
      <c r="L21" s="898"/>
    </row>
    <row r="22" spans="1:12" ht="18" thickTop="1" thickBot="1" x14ac:dyDescent="0.3">
      <c r="A22" s="724" t="s">
        <v>679</v>
      </c>
      <c r="B22" s="813" t="s">
        <v>1059</v>
      </c>
      <c r="C22" s="659">
        <v>5000</v>
      </c>
      <c r="D22" s="1039">
        <v>3373.02</v>
      </c>
      <c r="E22" s="681">
        <f t="shared" si="0"/>
        <v>1626.98</v>
      </c>
      <c r="F22" s="612"/>
      <c r="G22" s="646">
        <f>F21-F22</f>
        <v>0</v>
      </c>
      <c r="H22" s="612"/>
      <c r="I22" s="889"/>
      <c r="J22" s="892"/>
      <c r="K22" s="895"/>
      <c r="L22" s="898"/>
    </row>
    <row r="23" spans="1:12" ht="18" thickTop="1" thickBot="1" x14ac:dyDescent="0.3">
      <c r="A23" s="723" t="s">
        <v>680</v>
      </c>
      <c r="B23" s="812" t="s">
        <v>1060</v>
      </c>
      <c r="C23" s="659">
        <v>5000</v>
      </c>
      <c r="D23" s="1037">
        <v>3686.33</v>
      </c>
      <c r="E23" s="680">
        <f t="shared" si="0"/>
        <v>1313.67</v>
      </c>
      <c r="F23" s="616"/>
      <c r="G23" s="645">
        <f>F3-F23</f>
        <v>0</v>
      </c>
      <c r="H23" s="616"/>
      <c r="I23" s="889"/>
      <c r="J23" s="892"/>
      <c r="K23" s="895"/>
      <c r="L23" s="898"/>
    </row>
    <row r="24" spans="1:12" ht="18" thickTop="1" thickBot="1" x14ac:dyDescent="0.3">
      <c r="A24" s="724" t="s">
        <v>681</v>
      </c>
      <c r="B24" s="813" t="s">
        <v>1061</v>
      </c>
      <c r="C24" s="659">
        <v>5000</v>
      </c>
      <c r="D24" s="1039">
        <v>3687.41</v>
      </c>
      <c r="E24" s="681">
        <f t="shared" si="0"/>
        <v>1312.5900000000001</v>
      </c>
      <c r="F24" s="612"/>
      <c r="G24" s="646">
        <f>F23-F24</f>
        <v>0</v>
      </c>
      <c r="H24" s="612"/>
      <c r="I24" s="889"/>
      <c r="J24" s="892"/>
      <c r="K24" s="895"/>
      <c r="L24" s="898"/>
    </row>
    <row r="25" spans="1:12" ht="18" thickTop="1" thickBot="1" x14ac:dyDescent="0.3">
      <c r="A25" s="723" t="s">
        <v>682</v>
      </c>
      <c r="B25" s="812" t="s">
        <v>1062</v>
      </c>
      <c r="C25" s="659">
        <v>5000</v>
      </c>
      <c r="D25" s="1037">
        <v>3971.57</v>
      </c>
      <c r="E25" s="680">
        <f t="shared" si="0"/>
        <v>1028.4299999999998</v>
      </c>
      <c r="F25" s="616"/>
      <c r="G25" s="645">
        <f>F3-F25</f>
        <v>0</v>
      </c>
      <c r="H25" s="616"/>
      <c r="I25" s="889"/>
      <c r="J25" s="892"/>
      <c r="K25" s="895"/>
      <c r="L25" s="898"/>
    </row>
    <row r="26" spans="1:12" ht="18" thickTop="1" thickBot="1" x14ac:dyDescent="0.3">
      <c r="A26" s="724" t="s">
        <v>683</v>
      </c>
      <c r="B26" s="813" t="s">
        <v>1063</v>
      </c>
      <c r="C26" s="659">
        <v>5000</v>
      </c>
      <c r="D26" s="1039">
        <v>3972.72</v>
      </c>
      <c r="E26" s="681">
        <f t="shared" si="0"/>
        <v>1027.2800000000002</v>
      </c>
      <c r="F26" s="612"/>
      <c r="G26" s="646">
        <f>F25-F26</f>
        <v>0</v>
      </c>
      <c r="H26" s="612"/>
      <c r="I26" s="889"/>
      <c r="J26" s="892"/>
      <c r="K26" s="895"/>
      <c r="L26" s="898"/>
    </row>
    <row r="27" spans="1:12" ht="18" thickTop="1" thickBot="1" x14ac:dyDescent="0.3">
      <c r="A27" s="723" t="s">
        <v>684</v>
      </c>
      <c r="B27" s="812" t="s">
        <v>1064</v>
      </c>
      <c r="C27" s="659">
        <v>5000</v>
      </c>
      <c r="D27" s="1037">
        <v>3331.66</v>
      </c>
      <c r="E27" s="680">
        <f t="shared" si="0"/>
        <v>1668.3400000000001</v>
      </c>
      <c r="F27" s="615"/>
      <c r="G27" s="645">
        <f>F3-F27</f>
        <v>0</v>
      </c>
      <c r="H27" s="615"/>
      <c r="I27" s="889"/>
      <c r="J27" s="892"/>
      <c r="K27" s="895"/>
      <c r="L27" s="898"/>
    </row>
    <row r="28" spans="1:12" ht="18" thickTop="1" thickBot="1" x14ac:dyDescent="0.3">
      <c r="A28" s="724" t="s">
        <v>685</v>
      </c>
      <c r="B28" s="813" t="s">
        <v>1065</v>
      </c>
      <c r="C28" s="659">
        <v>5000</v>
      </c>
      <c r="D28" s="1039">
        <v>3332.89</v>
      </c>
      <c r="E28" s="681">
        <f t="shared" si="0"/>
        <v>1667.1100000000001</v>
      </c>
      <c r="F28" s="617"/>
      <c r="G28" s="646">
        <f>F27-F28</f>
        <v>0</v>
      </c>
      <c r="H28" s="617"/>
      <c r="I28" s="889"/>
      <c r="J28" s="892"/>
      <c r="K28" s="895"/>
      <c r="L28" s="898"/>
    </row>
    <row r="29" spans="1:12" ht="18" thickTop="1" thickBot="1" x14ac:dyDescent="0.3">
      <c r="A29" s="723" t="s">
        <v>686</v>
      </c>
      <c r="B29" s="812" t="s">
        <v>1066</v>
      </c>
      <c r="C29" s="659">
        <v>5000</v>
      </c>
      <c r="D29" s="1037">
        <v>3228.28</v>
      </c>
      <c r="E29" s="680">
        <f t="shared" si="0"/>
        <v>1771.7199999999998</v>
      </c>
      <c r="F29" s="616"/>
      <c r="G29" s="645">
        <f>F3-F29</f>
        <v>0</v>
      </c>
      <c r="H29" s="616"/>
      <c r="I29" s="889"/>
      <c r="J29" s="892"/>
      <c r="K29" s="895"/>
      <c r="L29" s="898"/>
    </row>
    <row r="30" spans="1:12" ht="18" thickTop="1" thickBot="1" x14ac:dyDescent="0.3">
      <c r="A30" s="724" t="s">
        <v>687</v>
      </c>
      <c r="B30" s="813" t="s">
        <v>1067</v>
      </c>
      <c r="C30" s="659">
        <v>5000</v>
      </c>
      <c r="D30" s="1039">
        <v>3227.77</v>
      </c>
      <c r="E30" s="681">
        <f t="shared" si="0"/>
        <v>1772.23</v>
      </c>
      <c r="F30" s="612"/>
      <c r="G30" s="646">
        <f>F29-F30</f>
        <v>0</v>
      </c>
      <c r="H30" s="612"/>
      <c r="I30" s="889"/>
      <c r="J30" s="892"/>
      <c r="K30" s="895"/>
      <c r="L30" s="898"/>
    </row>
    <row r="31" spans="1:12" ht="18" thickTop="1" thickBot="1" x14ac:dyDescent="0.3">
      <c r="A31" s="723" t="s">
        <v>688</v>
      </c>
      <c r="B31" s="812" t="s">
        <v>1068</v>
      </c>
      <c r="C31" s="659">
        <v>5000</v>
      </c>
      <c r="D31" s="1037">
        <v>3781.85</v>
      </c>
      <c r="E31" s="680">
        <f t="shared" si="0"/>
        <v>1218.1500000000001</v>
      </c>
      <c r="F31" s="615"/>
      <c r="G31" s="645">
        <f>F3-F31</f>
        <v>0</v>
      </c>
      <c r="H31" s="615"/>
      <c r="I31" s="889"/>
      <c r="J31" s="892"/>
      <c r="K31" s="895"/>
      <c r="L31" s="898"/>
    </row>
    <row r="32" spans="1:12" ht="18" thickTop="1" thickBot="1" x14ac:dyDescent="0.3">
      <c r="A32" s="724" t="s">
        <v>689</v>
      </c>
      <c r="B32" s="813" t="s">
        <v>1069</v>
      </c>
      <c r="C32" s="659">
        <v>5000</v>
      </c>
      <c r="D32" s="1039">
        <v>3782.21</v>
      </c>
      <c r="E32" s="681">
        <f t="shared" si="0"/>
        <v>1217.79</v>
      </c>
      <c r="F32" s="617"/>
      <c r="G32" s="646">
        <f>F31-F32</f>
        <v>0</v>
      </c>
      <c r="H32" s="617"/>
      <c r="I32" s="889"/>
      <c r="J32" s="892"/>
      <c r="K32" s="895"/>
      <c r="L32" s="898"/>
    </row>
    <row r="33" spans="1:12" ht="18" thickTop="1" thickBot="1" x14ac:dyDescent="0.3">
      <c r="A33" s="723" t="s">
        <v>690</v>
      </c>
      <c r="B33" s="812" t="s">
        <v>1070</v>
      </c>
      <c r="C33" s="659">
        <v>5000</v>
      </c>
      <c r="D33" s="1037">
        <v>4127.72</v>
      </c>
      <c r="E33" s="680">
        <f t="shared" si="0"/>
        <v>872.27999999999975</v>
      </c>
      <c r="F33" s="616"/>
      <c r="G33" s="645">
        <f>F3-F33</f>
        <v>0</v>
      </c>
      <c r="H33" s="616"/>
      <c r="I33" s="889"/>
      <c r="J33" s="892"/>
      <c r="K33" s="895"/>
      <c r="L33" s="898"/>
    </row>
    <row r="34" spans="1:12" ht="18" thickTop="1" thickBot="1" x14ac:dyDescent="0.3">
      <c r="A34" s="724" t="s">
        <v>691</v>
      </c>
      <c r="B34" s="813" t="s">
        <v>1071</v>
      </c>
      <c r="C34" s="659">
        <v>5000</v>
      </c>
      <c r="D34" s="1039">
        <v>4128.03</v>
      </c>
      <c r="E34" s="681">
        <f t="shared" si="0"/>
        <v>871.97000000000025</v>
      </c>
      <c r="F34" s="612"/>
      <c r="G34" s="646">
        <f>F33-F34</f>
        <v>0</v>
      </c>
      <c r="H34" s="612"/>
      <c r="I34" s="890"/>
      <c r="J34" s="893"/>
      <c r="K34" s="896"/>
      <c r="L34" s="899"/>
    </row>
    <row r="35" spans="1:12" ht="18" thickTop="1" thickBot="1" x14ac:dyDescent="0.3">
      <c r="A35" s="723" t="s">
        <v>692</v>
      </c>
      <c r="B35" s="812" t="s">
        <v>1072</v>
      </c>
      <c r="C35" s="659">
        <v>5000</v>
      </c>
      <c r="D35" s="1037">
        <v>2102</v>
      </c>
      <c r="E35" s="680">
        <f t="shared" ref="E35:E66" si="1">C35-D35</f>
        <v>2898</v>
      </c>
      <c r="F35" s="616"/>
      <c r="G35" s="645" t="s">
        <v>659</v>
      </c>
      <c r="H35" s="616"/>
      <c r="I35" s="888" t="s">
        <v>660</v>
      </c>
      <c r="J35" s="891">
        <v>2</v>
      </c>
      <c r="K35" s="894" t="s">
        <v>861</v>
      </c>
      <c r="L35" s="897">
        <v>20</v>
      </c>
    </row>
    <row r="36" spans="1:12" ht="18" customHeight="1" thickTop="1" thickBot="1" x14ac:dyDescent="0.3">
      <c r="A36" s="724" t="s">
        <v>693</v>
      </c>
      <c r="B36" s="813" t="s">
        <v>1073</v>
      </c>
      <c r="C36" s="659">
        <v>5000</v>
      </c>
      <c r="D36" s="1039">
        <v>2101.35</v>
      </c>
      <c r="E36" s="681">
        <f t="shared" si="1"/>
        <v>2898.65</v>
      </c>
      <c r="F36" s="612"/>
      <c r="G36" s="646">
        <f>F35-F36</f>
        <v>0</v>
      </c>
      <c r="H36" s="612"/>
      <c r="I36" s="889"/>
      <c r="J36" s="892"/>
      <c r="K36" s="895"/>
      <c r="L36" s="898"/>
    </row>
    <row r="37" spans="1:12" ht="18" thickTop="1" thickBot="1" x14ac:dyDescent="0.3">
      <c r="A37" s="723" t="s">
        <v>694</v>
      </c>
      <c r="B37" s="812" t="s">
        <v>1074</v>
      </c>
      <c r="C37" s="659">
        <v>5000</v>
      </c>
      <c r="D37" s="1037">
        <v>1961.4</v>
      </c>
      <c r="E37" s="680">
        <f t="shared" si="1"/>
        <v>3038.6</v>
      </c>
      <c r="F37" s="616"/>
      <c r="G37" s="645">
        <f>F35-F37</f>
        <v>0</v>
      </c>
      <c r="H37" s="616"/>
      <c r="I37" s="889"/>
      <c r="J37" s="892"/>
      <c r="K37" s="895"/>
      <c r="L37" s="898"/>
    </row>
    <row r="38" spans="1:12" ht="18" thickTop="1" thickBot="1" x14ac:dyDescent="0.3">
      <c r="A38" s="724" t="s">
        <v>695</v>
      </c>
      <c r="B38" s="813" t="s">
        <v>1075</v>
      </c>
      <c r="C38" s="659">
        <v>5000</v>
      </c>
      <c r="D38" s="1039">
        <v>1963.16</v>
      </c>
      <c r="E38" s="681">
        <f t="shared" si="1"/>
        <v>3036.84</v>
      </c>
      <c r="F38" s="612"/>
      <c r="G38" s="646">
        <f>F37-F38</f>
        <v>0</v>
      </c>
      <c r="H38" s="612"/>
      <c r="I38" s="889"/>
      <c r="J38" s="892"/>
      <c r="K38" s="895"/>
      <c r="L38" s="898"/>
    </row>
    <row r="39" spans="1:12" ht="18" thickTop="1" thickBot="1" x14ac:dyDescent="0.3">
      <c r="A39" s="723" t="s">
        <v>696</v>
      </c>
      <c r="B39" s="812" t="s">
        <v>1076</v>
      </c>
      <c r="C39" s="659">
        <v>5000</v>
      </c>
      <c r="D39" s="1037">
        <v>2050.62</v>
      </c>
      <c r="E39" s="680">
        <f t="shared" si="1"/>
        <v>2949.38</v>
      </c>
      <c r="F39" s="616"/>
      <c r="G39" s="645">
        <f>F35-F39</f>
        <v>0</v>
      </c>
      <c r="H39" s="616"/>
      <c r="I39" s="889"/>
      <c r="J39" s="892"/>
      <c r="K39" s="895"/>
      <c r="L39" s="898"/>
    </row>
    <row r="40" spans="1:12" ht="18" thickTop="1" thickBot="1" x14ac:dyDescent="0.3">
      <c r="A40" s="724" t="s">
        <v>697</v>
      </c>
      <c r="B40" s="813" t="s">
        <v>1077</v>
      </c>
      <c r="C40" s="659">
        <v>5000</v>
      </c>
      <c r="D40" s="1039">
        <v>2048.64</v>
      </c>
      <c r="E40" s="681">
        <f t="shared" si="1"/>
        <v>2951.36</v>
      </c>
      <c r="F40" s="612"/>
      <c r="G40" s="646">
        <f>F39-F40</f>
        <v>0</v>
      </c>
      <c r="H40" s="612"/>
      <c r="I40" s="889"/>
      <c r="J40" s="892"/>
      <c r="K40" s="895"/>
      <c r="L40" s="898"/>
    </row>
    <row r="41" spans="1:12" ht="18" thickTop="1" thickBot="1" x14ac:dyDescent="0.3">
      <c r="A41" s="723" t="s">
        <v>698</v>
      </c>
      <c r="B41" s="812" t="s">
        <v>1078</v>
      </c>
      <c r="C41" s="659">
        <v>5000</v>
      </c>
      <c r="D41" s="1037">
        <v>1999.97</v>
      </c>
      <c r="E41" s="680">
        <f t="shared" si="1"/>
        <v>3000.0299999999997</v>
      </c>
      <c r="F41" s="616"/>
      <c r="G41" s="645">
        <f>F35-F41</f>
        <v>0</v>
      </c>
      <c r="H41" s="616"/>
      <c r="I41" s="889"/>
      <c r="J41" s="892"/>
      <c r="K41" s="895"/>
      <c r="L41" s="898"/>
    </row>
    <row r="42" spans="1:12" ht="18" thickTop="1" thickBot="1" x14ac:dyDescent="0.3">
      <c r="A42" s="724" t="s">
        <v>699</v>
      </c>
      <c r="B42" s="813" t="s">
        <v>1079</v>
      </c>
      <c r="C42" s="659">
        <v>5000</v>
      </c>
      <c r="D42" s="1039">
        <v>1998.67</v>
      </c>
      <c r="E42" s="681">
        <f t="shared" si="1"/>
        <v>3001.33</v>
      </c>
      <c r="F42" s="612"/>
      <c r="G42" s="646">
        <f>F41-F42</f>
        <v>0</v>
      </c>
      <c r="H42" s="612"/>
      <c r="I42" s="889"/>
      <c r="J42" s="892"/>
      <c r="K42" s="895"/>
      <c r="L42" s="898"/>
    </row>
    <row r="43" spans="1:12" ht="18" thickTop="1" thickBot="1" x14ac:dyDescent="0.3">
      <c r="A43" s="723" t="s">
        <v>700</v>
      </c>
      <c r="B43" s="812" t="s">
        <v>1080</v>
      </c>
      <c r="C43" s="659">
        <v>5000</v>
      </c>
      <c r="D43" s="1037">
        <v>2133.25</v>
      </c>
      <c r="E43" s="680">
        <f t="shared" si="1"/>
        <v>2866.75</v>
      </c>
      <c r="F43" s="615"/>
      <c r="G43" s="647">
        <f>F35-F43</f>
        <v>0</v>
      </c>
      <c r="H43" s="615"/>
      <c r="I43" s="889"/>
      <c r="J43" s="892"/>
      <c r="K43" s="895"/>
      <c r="L43" s="898"/>
    </row>
    <row r="44" spans="1:12" ht="18" thickTop="1" thickBot="1" x14ac:dyDescent="0.3">
      <c r="A44" s="724" t="s">
        <v>701</v>
      </c>
      <c r="B44" s="813" t="s">
        <v>1081</v>
      </c>
      <c r="C44" s="659">
        <v>5000</v>
      </c>
      <c r="D44" s="1039">
        <v>2133.11</v>
      </c>
      <c r="E44" s="681">
        <f t="shared" si="1"/>
        <v>2866.89</v>
      </c>
      <c r="F44" s="617"/>
      <c r="G44" s="648">
        <f>F43-F44</f>
        <v>0</v>
      </c>
      <c r="H44" s="617"/>
      <c r="I44" s="889"/>
      <c r="J44" s="892"/>
      <c r="K44" s="895"/>
      <c r="L44" s="898"/>
    </row>
    <row r="45" spans="1:12" ht="18" thickTop="1" thickBot="1" x14ac:dyDescent="0.3">
      <c r="A45" s="723" t="s">
        <v>5</v>
      </c>
      <c r="B45" s="812" t="s">
        <v>1082</v>
      </c>
      <c r="C45" s="659">
        <v>5000</v>
      </c>
      <c r="D45" s="1037">
        <v>2060.7199999999998</v>
      </c>
      <c r="E45" s="680">
        <f t="shared" si="1"/>
        <v>2939.28</v>
      </c>
      <c r="F45" s="616"/>
      <c r="G45" s="645">
        <f>F35-F45</f>
        <v>0</v>
      </c>
      <c r="H45" s="616"/>
      <c r="I45" s="889"/>
      <c r="J45" s="892"/>
      <c r="K45" s="895"/>
      <c r="L45" s="898"/>
    </row>
    <row r="46" spans="1:12" ht="18" thickTop="1" thickBot="1" x14ac:dyDescent="0.3">
      <c r="A46" s="724" t="s">
        <v>6</v>
      </c>
      <c r="B46" s="813" t="s">
        <v>1083</v>
      </c>
      <c r="C46" s="659">
        <v>5000</v>
      </c>
      <c r="D46" s="1039">
        <v>2061.44</v>
      </c>
      <c r="E46" s="681">
        <f t="shared" si="1"/>
        <v>2938.56</v>
      </c>
      <c r="F46" s="612"/>
      <c r="G46" s="646">
        <f>F45-F46</f>
        <v>0</v>
      </c>
      <c r="H46" s="612"/>
      <c r="I46" s="889"/>
      <c r="J46" s="892"/>
      <c r="K46" s="895"/>
      <c r="L46" s="898"/>
    </row>
    <row r="47" spans="1:12" ht="18" thickTop="1" thickBot="1" x14ac:dyDescent="0.3">
      <c r="A47" s="723" t="s">
        <v>7</v>
      </c>
      <c r="B47" s="812" t="s">
        <v>1084</v>
      </c>
      <c r="C47" s="659">
        <v>5000</v>
      </c>
      <c r="D47" s="1037">
        <v>2340.75</v>
      </c>
      <c r="E47" s="680">
        <f t="shared" si="1"/>
        <v>2659.25</v>
      </c>
      <c r="F47" s="615"/>
      <c r="G47" s="647">
        <f>F35-F47</f>
        <v>0</v>
      </c>
      <c r="H47" s="615"/>
      <c r="I47" s="889"/>
      <c r="J47" s="892"/>
      <c r="K47" s="895"/>
      <c r="L47" s="898"/>
    </row>
    <row r="48" spans="1:12" ht="18" thickTop="1" thickBot="1" x14ac:dyDescent="0.3">
      <c r="A48" s="724" t="s">
        <v>8</v>
      </c>
      <c r="B48" s="813" t="s">
        <v>1085</v>
      </c>
      <c r="C48" s="659">
        <v>5000</v>
      </c>
      <c r="D48" s="1039">
        <v>2340.98</v>
      </c>
      <c r="E48" s="681">
        <f t="shared" si="1"/>
        <v>2659.02</v>
      </c>
      <c r="F48" s="617"/>
      <c r="G48" s="648">
        <f>F47-F48</f>
        <v>0</v>
      </c>
      <c r="H48" s="617"/>
      <c r="I48" s="889"/>
      <c r="J48" s="892"/>
      <c r="K48" s="895"/>
      <c r="L48" s="898"/>
    </row>
    <row r="49" spans="1:12" ht="18" thickTop="1" thickBot="1" x14ac:dyDescent="0.3">
      <c r="A49" s="723" t="s">
        <v>9</v>
      </c>
      <c r="B49" s="812" t="s">
        <v>1086</v>
      </c>
      <c r="C49" s="659">
        <v>5000</v>
      </c>
      <c r="D49" s="1037">
        <v>2786.17</v>
      </c>
      <c r="E49" s="680">
        <f t="shared" si="1"/>
        <v>2213.83</v>
      </c>
      <c r="F49" s="616"/>
      <c r="G49" s="645">
        <f>F35-F49</f>
        <v>0</v>
      </c>
      <c r="H49" s="616"/>
      <c r="I49" s="889"/>
      <c r="J49" s="892"/>
      <c r="K49" s="895"/>
      <c r="L49" s="898"/>
    </row>
    <row r="50" spans="1:12" ht="18" thickTop="1" thickBot="1" x14ac:dyDescent="0.3">
      <c r="A50" s="724" t="s">
        <v>10</v>
      </c>
      <c r="B50" s="813" t="s">
        <v>1087</v>
      </c>
      <c r="C50" s="659">
        <v>5000</v>
      </c>
      <c r="D50" s="1039">
        <v>2786.7</v>
      </c>
      <c r="E50" s="681">
        <f t="shared" si="1"/>
        <v>2213.3000000000002</v>
      </c>
      <c r="F50" s="612"/>
      <c r="G50" s="646">
        <f>F49-F50</f>
        <v>0</v>
      </c>
      <c r="H50" s="612"/>
      <c r="I50" s="889"/>
      <c r="J50" s="892"/>
      <c r="K50" s="895"/>
      <c r="L50" s="898"/>
    </row>
    <row r="51" spans="1:12" ht="18" thickTop="1" thickBot="1" x14ac:dyDescent="0.3">
      <c r="A51" s="723" t="s">
        <v>11</v>
      </c>
      <c r="B51" s="812" t="s">
        <v>1088</v>
      </c>
      <c r="C51" s="659">
        <v>5000</v>
      </c>
      <c r="D51" s="1037">
        <v>2488.89</v>
      </c>
      <c r="E51" s="680">
        <f t="shared" si="1"/>
        <v>2511.11</v>
      </c>
      <c r="F51" s="616"/>
      <c r="G51" s="645">
        <f>F35-F51</f>
        <v>0</v>
      </c>
      <c r="H51" s="616"/>
      <c r="I51" s="889"/>
      <c r="J51" s="892"/>
      <c r="K51" s="895"/>
      <c r="L51" s="898"/>
    </row>
    <row r="52" spans="1:12" ht="18" thickTop="1" thickBot="1" x14ac:dyDescent="0.3">
      <c r="A52" s="724" t="s">
        <v>12</v>
      </c>
      <c r="B52" s="813" t="s">
        <v>1089</v>
      </c>
      <c r="C52" s="659">
        <v>5000</v>
      </c>
      <c r="D52" s="1039">
        <v>2488.0100000000002</v>
      </c>
      <c r="E52" s="681">
        <f t="shared" si="1"/>
        <v>2511.9899999999998</v>
      </c>
      <c r="F52" s="612"/>
      <c r="G52" s="646">
        <f>F51-F52</f>
        <v>0</v>
      </c>
      <c r="H52" s="612"/>
      <c r="I52" s="889"/>
      <c r="J52" s="892"/>
      <c r="K52" s="895"/>
      <c r="L52" s="898"/>
    </row>
    <row r="53" spans="1:12" ht="18" thickTop="1" thickBot="1" x14ac:dyDescent="0.3">
      <c r="A53" s="723" t="s">
        <v>13</v>
      </c>
      <c r="B53" s="812" t="s">
        <v>1090</v>
      </c>
      <c r="C53" s="659">
        <v>5000</v>
      </c>
      <c r="D53" s="1037">
        <v>3457.48</v>
      </c>
      <c r="E53" s="680">
        <f t="shared" si="1"/>
        <v>1542.52</v>
      </c>
      <c r="F53" s="616"/>
      <c r="G53" s="645">
        <f>F35-F53</f>
        <v>0</v>
      </c>
      <c r="H53" s="616"/>
      <c r="I53" s="889"/>
      <c r="J53" s="892"/>
      <c r="K53" s="895"/>
      <c r="L53" s="898"/>
    </row>
    <row r="54" spans="1:12" ht="18" thickTop="1" thickBot="1" x14ac:dyDescent="0.3">
      <c r="A54" s="724" t="s">
        <v>14</v>
      </c>
      <c r="B54" s="813" t="s">
        <v>1091</v>
      </c>
      <c r="C54" s="659">
        <v>5000</v>
      </c>
      <c r="D54" s="1039">
        <v>3456.89</v>
      </c>
      <c r="E54" s="681">
        <f t="shared" si="1"/>
        <v>1543.1100000000001</v>
      </c>
      <c r="F54" s="612"/>
      <c r="G54" s="646">
        <f>F53-F54</f>
        <v>0</v>
      </c>
      <c r="H54" s="612"/>
      <c r="I54" s="889"/>
      <c r="J54" s="892"/>
      <c r="K54" s="895"/>
      <c r="L54" s="898"/>
    </row>
    <row r="55" spans="1:12" ht="18" thickTop="1" thickBot="1" x14ac:dyDescent="0.3">
      <c r="A55" s="723" t="s">
        <v>15</v>
      </c>
      <c r="B55" s="812" t="s">
        <v>1092</v>
      </c>
      <c r="C55" s="659">
        <v>5000</v>
      </c>
      <c r="D55" s="1037">
        <v>2757.56</v>
      </c>
      <c r="E55" s="680">
        <f t="shared" si="1"/>
        <v>2242.44</v>
      </c>
      <c r="F55" s="616"/>
      <c r="G55" s="645">
        <f>F35-F55</f>
        <v>0</v>
      </c>
      <c r="H55" s="616"/>
      <c r="I55" s="889"/>
      <c r="J55" s="892"/>
      <c r="K55" s="895"/>
      <c r="L55" s="898"/>
    </row>
    <row r="56" spans="1:12" ht="18" thickTop="1" thickBot="1" x14ac:dyDescent="0.3">
      <c r="A56" s="724" t="s">
        <v>16</v>
      </c>
      <c r="B56" s="813" t="s">
        <v>1093</v>
      </c>
      <c r="C56" s="659">
        <v>5000</v>
      </c>
      <c r="D56" s="1039">
        <v>2756.74</v>
      </c>
      <c r="E56" s="681">
        <f t="shared" si="1"/>
        <v>2243.2600000000002</v>
      </c>
      <c r="F56" s="612"/>
      <c r="G56" s="646">
        <f>F55-F56</f>
        <v>0</v>
      </c>
      <c r="H56" s="612"/>
      <c r="I56" s="889"/>
      <c r="J56" s="892"/>
      <c r="K56" s="895"/>
      <c r="L56" s="898"/>
    </row>
    <row r="57" spans="1:12" ht="18" thickTop="1" thickBot="1" x14ac:dyDescent="0.3">
      <c r="A57" s="723" t="s">
        <v>17</v>
      </c>
      <c r="B57" s="812" t="s">
        <v>1094</v>
      </c>
      <c r="C57" s="659">
        <v>5000</v>
      </c>
      <c r="D57" s="1037">
        <v>2543.71</v>
      </c>
      <c r="E57" s="680">
        <f t="shared" si="1"/>
        <v>2456.29</v>
      </c>
      <c r="F57" s="616"/>
      <c r="G57" s="645">
        <f>F35-F57</f>
        <v>0</v>
      </c>
      <c r="H57" s="616"/>
      <c r="I57" s="889"/>
      <c r="J57" s="892"/>
      <c r="K57" s="895"/>
      <c r="L57" s="898"/>
    </row>
    <row r="58" spans="1:12" ht="18" thickTop="1" thickBot="1" x14ac:dyDescent="0.3">
      <c r="A58" s="724" t="s">
        <v>18</v>
      </c>
      <c r="B58" s="813" t="s">
        <v>1095</v>
      </c>
      <c r="C58" s="659">
        <v>5000</v>
      </c>
      <c r="D58" s="1039">
        <v>2544.7399999999998</v>
      </c>
      <c r="E58" s="681">
        <f t="shared" si="1"/>
        <v>2455.2600000000002</v>
      </c>
      <c r="F58" s="612"/>
      <c r="G58" s="646">
        <f>F57-F58</f>
        <v>0</v>
      </c>
      <c r="H58" s="612"/>
      <c r="I58" s="889"/>
      <c r="J58" s="892"/>
      <c r="K58" s="895"/>
      <c r="L58" s="898"/>
    </row>
    <row r="59" spans="1:12" ht="18" thickTop="1" thickBot="1" x14ac:dyDescent="0.3">
      <c r="A59" s="723" t="s">
        <v>1096</v>
      </c>
      <c r="B59" s="812" t="s">
        <v>1097</v>
      </c>
      <c r="C59" s="659">
        <v>5000</v>
      </c>
      <c r="D59" s="1037">
        <v>2069.39</v>
      </c>
      <c r="E59" s="680">
        <f t="shared" si="1"/>
        <v>2930.61</v>
      </c>
      <c r="F59" s="615"/>
      <c r="G59" s="645">
        <f>F35-F59</f>
        <v>0</v>
      </c>
      <c r="H59" s="615"/>
      <c r="I59" s="889"/>
      <c r="J59" s="892"/>
      <c r="K59" s="895"/>
      <c r="L59" s="898"/>
    </row>
    <row r="60" spans="1:12" ht="18" thickTop="1" thickBot="1" x14ac:dyDescent="0.3">
      <c r="A60" s="724" t="s">
        <v>19</v>
      </c>
      <c r="B60" s="813" t="s">
        <v>1098</v>
      </c>
      <c r="C60" s="659">
        <v>5000</v>
      </c>
      <c r="D60" s="1039">
        <v>2069.3000000000002</v>
      </c>
      <c r="E60" s="681">
        <f t="shared" si="1"/>
        <v>2930.7</v>
      </c>
      <c r="F60" s="617"/>
      <c r="G60" s="646">
        <f>F59-F60</f>
        <v>0</v>
      </c>
      <c r="H60" s="617"/>
      <c r="I60" s="889"/>
      <c r="J60" s="892"/>
      <c r="K60" s="895"/>
      <c r="L60" s="898"/>
    </row>
    <row r="61" spans="1:12" ht="18" thickTop="1" thickBot="1" x14ac:dyDescent="0.3">
      <c r="A61" s="723" t="s">
        <v>20</v>
      </c>
      <c r="B61" s="812" t="s">
        <v>1099</v>
      </c>
      <c r="C61" s="659">
        <v>5000</v>
      </c>
      <c r="D61" s="1037">
        <v>2529.08</v>
      </c>
      <c r="E61" s="680">
        <f t="shared" si="1"/>
        <v>2470.92</v>
      </c>
      <c r="F61" s="616"/>
      <c r="G61" s="645">
        <f>F35-F61</f>
        <v>0</v>
      </c>
      <c r="H61" s="616"/>
      <c r="I61" s="889"/>
      <c r="J61" s="892"/>
      <c r="K61" s="895"/>
      <c r="L61" s="898"/>
    </row>
    <row r="62" spans="1:12" ht="18" thickTop="1" thickBot="1" x14ac:dyDescent="0.3">
      <c r="A62" s="724" t="s">
        <v>21</v>
      </c>
      <c r="B62" s="813" t="s">
        <v>1100</v>
      </c>
      <c r="C62" s="659">
        <v>5000</v>
      </c>
      <c r="D62" s="1039">
        <v>2530.34</v>
      </c>
      <c r="E62" s="681">
        <f t="shared" si="1"/>
        <v>2469.66</v>
      </c>
      <c r="F62" s="612"/>
      <c r="G62" s="646">
        <f>F61-F62</f>
        <v>0</v>
      </c>
      <c r="H62" s="612"/>
      <c r="I62" s="889"/>
      <c r="J62" s="892"/>
      <c r="K62" s="895"/>
      <c r="L62" s="898"/>
    </row>
    <row r="63" spans="1:12" ht="18" thickTop="1" thickBot="1" x14ac:dyDescent="0.3">
      <c r="A63" s="723" t="s">
        <v>22</v>
      </c>
      <c r="B63" s="812" t="s">
        <v>1101</v>
      </c>
      <c r="C63" s="659">
        <v>5000</v>
      </c>
      <c r="D63" s="1037">
        <v>2744.53</v>
      </c>
      <c r="E63" s="680">
        <f t="shared" si="1"/>
        <v>2255.4699999999998</v>
      </c>
      <c r="F63" s="615"/>
      <c r="G63" s="645">
        <f>F35-F63</f>
        <v>0</v>
      </c>
      <c r="H63" s="615"/>
      <c r="I63" s="889"/>
      <c r="J63" s="892"/>
      <c r="K63" s="895"/>
      <c r="L63" s="898"/>
    </row>
    <row r="64" spans="1:12" ht="18" thickTop="1" thickBot="1" x14ac:dyDescent="0.3">
      <c r="A64" s="724" t="s">
        <v>23</v>
      </c>
      <c r="B64" s="813" t="s">
        <v>1102</v>
      </c>
      <c r="C64" s="659">
        <v>5000</v>
      </c>
      <c r="D64" s="1039">
        <v>2743.99</v>
      </c>
      <c r="E64" s="681">
        <f t="shared" si="1"/>
        <v>2256.0100000000002</v>
      </c>
      <c r="F64" s="617"/>
      <c r="G64" s="646">
        <f>F63-F64</f>
        <v>0</v>
      </c>
      <c r="H64" s="617"/>
      <c r="I64" s="889"/>
      <c r="J64" s="892"/>
      <c r="K64" s="895"/>
      <c r="L64" s="898"/>
    </row>
    <row r="65" spans="1:12" ht="18" thickTop="1" thickBot="1" x14ac:dyDescent="0.3">
      <c r="A65" s="723" t="s">
        <v>24</v>
      </c>
      <c r="B65" s="812" t="s">
        <v>1103</v>
      </c>
      <c r="C65" s="659">
        <v>5000</v>
      </c>
      <c r="D65" s="1037">
        <v>3148.54</v>
      </c>
      <c r="E65" s="680">
        <f t="shared" si="1"/>
        <v>1851.46</v>
      </c>
      <c r="F65" s="616"/>
      <c r="G65" s="645">
        <f>F35-F65</f>
        <v>0</v>
      </c>
      <c r="H65" s="616"/>
      <c r="I65" s="889"/>
      <c r="J65" s="892"/>
      <c r="K65" s="895"/>
      <c r="L65" s="898"/>
    </row>
    <row r="66" spans="1:12" ht="18" thickTop="1" thickBot="1" x14ac:dyDescent="0.3">
      <c r="A66" s="724" t="s">
        <v>25</v>
      </c>
      <c r="B66" s="813" t="s">
        <v>1104</v>
      </c>
      <c r="C66" s="659">
        <v>5000</v>
      </c>
      <c r="D66" s="1039">
        <v>3148.47</v>
      </c>
      <c r="E66" s="681">
        <f t="shared" si="1"/>
        <v>1851.5300000000002</v>
      </c>
      <c r="F66" s="612"/>
      <c r="G66" s="646">
        <f>F65-F66</f>
        <v>0</v>
      </c>
      <c r="H66" s="612"/>
      <c r="I66" s="890"/>
      <c r="J66" s="893"/>
      <c r="K66" s="896"/>
      <c r="L66" s="899"/>
    </row>
    <row r="67" spans="1:12" ht="17.25" thickTop="1" x14ac:dyDescent="0.25">
      <c r="C67" s="660"/>
      <c r="F67" s="649"/>
      <c r="G67" s="649"/>
      <c r="H67" s="649"/>
      <c r="I67" s="649"/>
      <c r="J67" s="649"/>
    </row>
    <row r="68" spans="1:12" x14ac:dyDescent="0.25">
      <c r="C68" s="660"/>
      <c r="F68" s="649"/>
      <c r="G68" s="649"/>
      <c r="H68" s="649"/>
      <c r="I68" s="649"/>
      <c r="J68" s="649"/>
    </row>
    <row r="69" spans="1:12" x14ac:dyDescent="0.25">
      <c r="C69" s="660"/>
      <c r="F69" s="649"/>
      <c r="G69" s="649"/>
      <c r="H69" s="649"/>
      <c r="I69" s="649"/>
      <c r="J69" s="649"/>
    </row>
    <row r="70" spans="1:12" x14ac:dyDescent="0.25">
      <c r="C70" s="660"/>
      <c r="G70" s="649"/>
      <c r="H70" s="649"/>
      <c r="I70" s="649"/>
      <c r="J70" s="649"/>
      <c r="K70" s="649"/>
    </row>
    <row r="71" spans="1:12" x14ac:dyDescent="0.25">
      <c r="C71" s="660"/>
      <c r="G71" s="649"/>
      <c r="H71" s="649"/>
      <c r="I71" s="649"/>
      <c r="J71" s="649"/>
      <c r="K71" s="649"/>
    </row>
    <row r="72" spans="1:12" x14ac:dyDescent="0.25">
      <c r="C72" s="660"/>
      <c r="G72" s="649"/>
      <c r="H72" s="649"/>
      <c r="I72" s="649"/>
      <c r="J72" s="649"/>
      <c r="K72" s="649"/>
    </row>
    <row r="73" spans="1:12" x14ac:dyDescent="0.25">
      <c r="C73" s="660"/>
      <c r="G73" s="649"/>
      <c r="H73" s="649"/>
      <c r="I73" s="649"/>
      <c r="J73" s="649"/>
      <c r="K73" s="649"/>
    </row>
    <row r="74" spans="1:12" x14ac:dyDescent="0.25">
      <c r="C74" s="660"/>
      <c r="G74" s="649"/>
      <c r="H74" s="649"/>
      <c r="I74" s="649"/>
      <c r="J74" s="649"/>
      <c r="K74" s="649"/>
    </row>
    <row r="75" spans="1:12" x14ac:dyDescent="0.25">
      <c r="C75" s="660"/>
      <c r="G75" s="649"/>
      <c r="H75" s="649"/>
      <c r="I75" s="649"/>
      <c r="J75" s="649"/>
      <c r="K75" s="649"/>
    </row>
    <row r="76" spans="1:12" x14ac:dyDescent="0.25">
      <c r="C76" s="660"/>
      <c r="G76" s="649"/>
      <c r="H76" s="649"/>
      <c r="I76" s="649"/>
      <c r="J76" s="649"/>
      <c r="K76" s="649"/>
    </row>
    <row r="77" spans="1:12" x14ac:dyDescent="0.25">
      <c r="C77" s="660"/>
      <c r="G77" s="649"/>
      <c r="H77" s="649"/>
      <c r="I77" s="649"/>
      <c r="J77" s="649"/>
      <c r="K77" s="649"/>
    </row>
    <row r="78" spans="1:12" x14ac:dyDescent="0.25">
      <c r="C78" s="660"/>
      <c r="G78" s="649"/>
      <c r="H78" s="649"/>
      <c r="I78" s="649"/>
      <c r="J78" s="649"/>
      <c r="K78" s="649"/>
    </row>
    <row r="79" spans="1:12" x14ac:dyDescent="0.25">
      <c r="C79" s="660"/>
      <c r="G79" s="649"/>
      <c r="H79" s="649"/>
      <c r="I79" s="649"/>
      <c r="J79" s="649"/>
      <c r="K79" s="649"/>
    </row>
    <row r="80" spans="1:12" x14ac:dyDescent="0.25">
      <c r="C80" s="660"/>
      <c r="G80" s="649"/>
      <c r="H80" s="649"/>
      <c r="I80" s="649"/>
      <c r="J80" s="649"/>
      <c r="K80" s="649"/>
    </row>
    <row r="81" spans="3:11" x14ac:dyDescent="0.25">
      <c r="C81" s="660"/>
      <c r="G81" s="649"/>
      <c r="H81" s="649"/>
      <c r="I81" s="649"/>
      <c r="J81" s="649"/>
      <c r="K81" s="649"/>
    </row>
    <row r="82" spans="3:11" x14ac:dyDescent="0.25">
      <c r="C82" s="660"/>
      <c r="G82" s="649"/>
      <c r="H82" s="649"/>
      <c r="I82" s="649"/>
      <c r="J82" s="649"/>
      <c r="K82" s="649"/>
    </row>
    <row r="83" spans="3:11" x14ac:dyDescent="0.25">
      <c r="C83" s="660"/>
      <c r="G83" s="649"/>
      <c r="H83" s="649"/>
      <c r="I83" s="649"/>
      <c r="J83" s="649"/>
      <c r="K83" s="649"/>
    </row>
    <row r="84" spans="3:11" x14ac:dyDescent="0.25">
      <c r="C84" s="660"/>
      <c r="G84" s="649"/>
      <c r="H84" s="649"/>
      <c r="I84" s="649"/>
      <c r="J84" s="649"/>
      <c r="K84" s="649"/>
    </row>
    <row r="85" spans="3:11" x14ac:dyDescent="0.25">
      <c r="C85" s="660"/>
      <c r="G85" s="649"/>
      <c r="H85" s="649"/>
      <c r="I85" s="649"/>
      <c r="J85" s="649"/>
      <c r="K85" s="649"/>
    </row>
    <row r="86" spans="3:11" x14ac:dyDescent="0.25">
      <c r="G86" s="649"/>
      <c r="H86" s="649"/>
      <c r="I86" s="649"/>
      <c r="J86" s="649"/>
      <c r="K86" s="649"/>
    </row>
    <row r="87" spans="3:11" x14ac:dyDescent="0.25">
      <c r="G87" s="649"/>
      <c r="H87" s="649"/>
      <c r="I87" s="649"/>
      <c r="J87" s="649"/>
      <c r="K87" s="649"/>
    </row>
    <row r="88" spans="3:11" x14ac:dyDescent="0.25">
      <c r="G88" s="649"/>
      <c r="H88" s="649"/>
      <c r="I88" s="649"/>
      <c r="J88" s="649"/>
      <c r="K88" s="649"/>
    </row>
    <row r="89" spans="3:11" x14ac:dyDescent="0.25">
      <c r="G89" s="649"/>
      <c r="H89" s="649"/>
      <c r="I89" s="649"/>
      <c r="J89" s="649"/>
      <c r="K89" s="649"/>
    </row>
    <row r="90" spans="3:11" x14ac:dyDescent="0.25">
      <c r="G90" s="649"/>
      <c r="H90" s="649"/>
      <c r="I90" s="649"/>
      <c r="J90" s="649"/>
      <c r="K90" s="649"/>
    </row>
    <row r="91" spans="3:11" x14ac:dyDescent="0.25">
      <c r="G91" s="649"/>
      <c r="H91" s="649"/>
      <c r="I91" s="649"/>
      <c r="J91" s="649"/>
      <c r="K91" s="649"/>
    </row>
    <row r="92" spans="3:11" x14ac:dyDescent="0.25">
      <c r="G92" s="649"/>
      <c r="H92" s="649"/>
      <c r="I92" s="649"/>
      <c r="J92" s="649"/>
      <c r="K92" s="649"/>
    </row>
    <row r="93" spans="3:11" x14ac:dyDescent="0.25">
      <c r="G93" s="649"/>
      <c r="H93" s="649"/>
      <c r="I93" s="649"/>
      <c r="J93" s="649"/>
      <c r="K93" s="649"/>
    </row>
    <row r="94" spans="3:11" x14ac:dyDescent="0.25">
      <c r="G94" s="649"/>
      <c r="H94" s="649"/>
      <c r="I94" s="649"/>
      <c r="J94" s="649"/>
      <c r="K94" s="649"/>
    </row>
    <row r="95" spans="3:11" x14ac:dyDescent="0.25">
      <c r="G95" s="649"/>
      <c r="H95" s="649"/>
      <c r="I95" s="649"/>
      <c r="J95" s="649"/>
      <c r="K95" s="649"/>
    </row>
    <row r="96" spans="3:11" x14ac:dyDescent="0.25">
      <c r="G96" s="649"/>
      <c r="H96" s="649"/>
      <c r="I96" s="649"/>
      <c r="J96" s="649"/>
      <c r="K96" s="649"/>
    </row>
    <row r="97" spans="7:11" x14ac:dyDescent="0.25">
      <c r="G97" s="649"/>
      <c r="H97" s="649"/>
      <c r="I97" s="649"/>
      <c r="J97" s="649"/>
      <c r="K97" s="649"/>
    </row>
    <row r="98" spans="7:11" x14ac:dyDescent="0.25">
      <c r="G98" s="649"/>
      <c r="H98" s="649"/>
      <c r="I98" s="649"/>
      <c r="J98" s="649"/>
      <c r="K98" s="649"/>
    </row>
    <row r="99" spans="7:11" x14ac:dyDescent="0.25">
      <c r="G99" s="649"/>
      <c r="H99" s="649"/>
      <c r="I99" s="649"/>
      <c r="J99" s="649"/>
      <c r="K99" s="649"/>
    </row>
    <row r="100" spans="7:11" x14ac:dyDescent="0.25">
      <c r="G100" s="649"/>
      <c r="H100" s="649"/>
      <c r="I100" s="649"/>
      <c r="J100" s="649"/>
      <c r="K100" s="649"/>
    </row>
    <row r="101" spans="7:11" x14ac:dyDescent="0.25">
      <c r="G101" s="649"/>
      <c r="H101" s="649"/>
      <c r="I101" s="649"/>
      <c r="J101" s="649"/>
      <c r="K101" s="649"/>
    </row>
    <row r="102" spans="7:11" x14ac:dyDescent="0.25">
      <c r="G102" s="649"/>
      <c r="H102" s="649"/>
      <c r="I102" s="649"/>
      <c r="J102" s="649"/>
      <c r="K102" s="649"/>
    </row>
    <row r="103" spans="7:11" x14ac:dyDescent="0.25">
      <c r="G103" s="649"/>
      <c r="H103" s="649"/>
      <c r="I103" s="649"/>
      <c r="J103" s="649"/>
      <c r="K103" s="649"/>
    </row>
    <row r="104" spans="7:11" x14ac:dyDescent="0.25">
      <c r="G104" s="649"/>
      <c r="H104" s="649"/>
      <c r="I104" s="649"/>
      <c r="J104" s="649"/>
      <c r="K104" s="649"/>
    </row>
    <row r="105" spans="7:11" x14ac:dyDescent="0.25">
      <c r="G105" s="649"/>
      <c r="H105" s="649"/>
      <c r="I105" s="649"/>
      <c r="J105" s="649"/>
      <c r="K105" s="649"/>
    </row>
    <row r="106" spans="7:11" x14ac:dyDescent="0.25">
      <c r="G106" s="649"/>
      <c r="H106" s="649"/>
      <c r="I106" s="649"/>
      <c r="J106" s="649"/>
      <c r="K106" s="649"/>
    </row>
    <row r="107" spans="7:11" x14ac:dyDescent="0.25">
      <c r="G107" s="649"/>
      <c r="H107" s="649"/>
      <c r="I107" s="649"/>
      <c r="J107" s="649"/>
      <c r="K107" s="649"/>
    </row>
    <row r="108" spans="7:11" x14ac:dyDescent="0.25">
      <c r="G108" s="649"/>
      <c r="H108" s="649"/>
      <c r="I108" s="649"/>
      <c r="J108" s="649"/>
      <c r="K108" s="649"/>
    </row>
    <row r="109" spans="7:11" x14ac:dyDescent="0.25">
      <c r="G109" s="649"/>
      <c r="H109" s="649"/>
      <c r="I109" s="649"/>
      <c r="J109" s="649"/>
      <c r="K109" s="649"/>
    </row>
    <row r="110" spans="7:11" x14ac:dyDescent="0.25">
      <c r="G110" s="649"/>
      <c r="H110" s="649"/>
      <c r="I110" s="649"/>
      <c r="J110" s="649"/>
      <c r="K110" s="649"/>
    </row>
    <row r="111" spans="7:11" x14ac:dyDescent="0.25">
      <c r="G111" s="649"/>
      <c r="H111" s="649"/>
      <c r="I111" s="649"/>
      <c r="J111" s="649"/>
      <c r="K111" s="649"/>
    </row>
    <row r="112" spans="7:11" x14ac:dyDescent="0.25">
      <c r="G112" s="649"/>
      <c r="H112" s="649"/>
      <c r="I112" s="649"/>
      <c r="J112" s="649"/>
      <c r="K112" s="649"/>
    </row>
    <row r="113" spans="7:11" x14ac:dyDescent="0.25">
      <c r="G113" s="649"/>
      <c r="H113" s="649"/>
      <c r="I113" s="649"/>
      <c r="J113" s="649"/>
      <c r="K113" s="649"/>
    </row>
    <row r="114" spans="7:11" x14ac:dyDescent="0.25">
      <c r="G114" s="649"/>
      <c r="H114" s="649"/>
      <c r="I114" s="649"/>
      <c r="J114" s="649"/>
      <c r="K114" s="649"/>
    </row>
    <row r="115" spans="7:11" x14ac:dyDescent="0.25">
      <c r="G115" s="649"/>
      <c r="H115" s="649"/>
      <c r="I115" s="649"/>
      <c r="J115" s="649"/>
      <c r="K115" s="649"/>
    </row>
    <row r="116" spans="7:11" x14ac:dyDescent="0.25">
      <c r="G116" s="649"/>
      <c r="H116" s="649"/>
      <c r="I116" s="649"/>
      <c r="J116" s="649"/>
      <c r="K116" s="649"/>
    </row>
    <row r="117" spans="7:11" x14ac:dyDescent="0.25">
      <c r="G117" s="649"/>
      <c r="H117" s="649"/>
      <c r="I117" s="649"/>
      <c r="J117" s="649"/>
      <c r="K117" s="649"/>
    </row>
    <row r="118" spans="7:11" x14ac:dyDescent="0.25">
      <c r="G118" s="649"/>
      <c r="H118" s="649"/>
      <c r="I118" s="649"/>
      <c r="J118" s="649"/>
      <c r="K118" s="649"/>
    </row>
    <row r="119" spans="7:11" x14ac:dyDescent="0.25">
      <c r="G119" s="649"/>
      <c r="H119" s="649"/>
      <c r="I119" s="649"/>
      <c r="J119" s="649"/>
      <c r="K119" s="649"/>
    </row>
    <row r="120" spans="7:11" x14ac:dyDescent="0.25">
      <c r="G120" s="649"/>
      <c r="H120" s="649"/>
      <c r="I120" s="649"/>
      <c r="J120" s="649"/>
      <c r="K120" s="649"/>
    </row>
    <row r="121" spans="7:11" x14ac:dyDescent="0.25">
      <c r="G121" s="649"/>
      <c r="H121" s="649"/>
      <c r="I121" s="649"/>
      <c r="J121" s="649"/>
      <c r="K121" s="649"/>
    </row>
    <row r="122" spans="7:11" x14ac:dyDescent="0.25">
      <c r="G122" s="649"/>
      <c r="H122" s="649"/>
      <c r="I122" s="649"/>
      <c r="J122" s="649"/>
      <c r="K122" s="649"/>
    </row>
    <row r="123" spans="7:11" x14ac:dyDescent="0.25">
      <c r="G123" s="649"/>
      <c r="H123" s="649"/>
      <c r="I123" s="649"/>
      <c r="J123" s="649"/>
      <c r="K123" s="649"/>
    </row>
    <row r="124" spans="7:11" x14ac:dyDescent="0.25">
      <c r="G124" s="649"/>
      <c r="H124" s="649"/>
      <c r="I124" s="649"/>
      <c r="J124" s="649"/>
      <c r="K124" s="649"/>
    </row>
    <row r="125" spans="7:11" x14ac:dyDescent="0.25">
      <c r="G125" s="649"/>
      <c r="H125" s="649"/>
      <c r="I125" s="649"/>
      <c r="J125" s="649"/>
      <c r="K125" s="649"/>
    </row>
    <row r="126" spans="7:11" x14ac:dyDescent="0.25">
      <c r="G126" s="649"/>
      <c r="H126" s="649"/>
      <c r="I126" s="649"/>
      <c r="J126" s="649"/>
      <c r="K126" s="649"/>
    </row>
    <row r="127" spans="7:11" x14ac:dyDescent="0.25">
      <c r="G127" s="649"/>
      <c r="H127" s="649"/>
      <c r="I127" s="649"/>
      <c r="J127" s="649"/>
      <c r="K127" s="649"/>
    </row>
    <row r="128" spans="7:11" x14ac:dyDescent="0.25">
      <c r="G128" s="649"/>
      <c r="H128" s="649"/>
      <c r="I128" s="649"/>
      <c r="J128" s="649"/>
      <c r="K128" s="649"/>
    </row>
    <row r="129" spans="7:11" x14ac:dyDescent="0.25">
      <c r="G129" s="649"/>
      <c r="H129" s="649"/>
      <c r="I129" s="649"/>
      <c r="J129" s="649"/>
      <c r="K129" s="649"/>
    </row>
    <row r="130" spans="7:11" x14ac:dyDescent="0.25">
      <c r="G130" s="649"/>
      <c r="H130" s="649"/>
      <c r="I130" s="649"/>
      <c r="J130" s="649"/>
      <c r="K130" s="649"/>
    </row>
    <row r="131" spans="7:11" x14ac:dyDescent="0.25">
      <c r="G131" s="649"/>
      <c r="H131" s="649"/>
      <c r="I131" s="649"/>
      <c r="J131" s="649"/>
      <c r="K131" s="649"/>
    </row>
    <row r="132" spans="7:11" x14ac:dyDescent="0.25">
      <c r="G132" s="649"/>
      <c r="H132" s="649"/>
      <c r="I132" s="649"/>
      <c r="J132" s="649"/>
      <c r="K132" s="649"/>
    </row>
    <row r="133" spans="7:11" x14ac:dyDescent="0.25">
      <c r="G133" s="649"/>
      <c r="H133" s="649"/>
      <c r="I133" s="649"/>
      <c r="J133" s="649"/>
      <c r="K133" s="649"/>
    </row>
    <row r="134" spans="7:11" x14ac:dyDescent="0.25">
      <c r="G134" s="649"/>
      <c r="H134" s="649"/>
      <c r="I134" s="649"/>
      <c r="J134" s="649"/>
      <c r="K134" s="649"/>
    </row>
    <row r="135" spans="7:11" x14ac:dyDescent="0.25">
      <c r="G135" s="649"/>
      <c r="H135" s="649"/>
      <c r="I135" s="649"/>
      <c r="J135" s="649"/>
      <c r="K135" s="649"/>
    </row>
    <row r="136" spans="7:11" x14ac:dyDescent="0.25">
      <c r="G136" s="649"/>
      <c r="H136" s="649"/>
      <c r="I136" s="649"/>
      <c r="J136" s="649"/>
      <c r="K136" s="649"/>
    </row>
    <row r="137" spans="7:11" x14ac:dyDescent="0.25">
      <c r="G137" s="649"/>
      <c r="H137" s="649"/>
      <c r="I137" s="649"/>
      <c r="J137" s="649"/>
      <c r="K137" s="649"/>
    </row>
    <row r="138" spans="7:11" x14ac:dyDescent="0.25">
      <c r="G138" s="649"/>
      <c r="H138" s="649"/>
      <c r="I138" s="649"/>
      <c r="J138" s="649"/>
      <c r="K138" s="649"/>
    </row>
    <row r="139" spans="7:11" x14ac:dyDescent="0.25">
      <c r="G139" s="649"/>
      <c r="H139" s="649"/>
      <c r="I139" s="649"/>
      <c r="J139" s="649"/>
      <c r="K139" s="649"/>
    </row>
    <row r="140" spans="7:11" x14ac:dyDescent="0.25">
      <c r="G140" s="649"/>
      <c r="H140" s="649"/>
      <c r="I140" s="649"/>
      <c r="J140" s="649"/>
      <c r="K140" s="649"/>
    </row>
    <row r="141" spans="7:11" x14ac:dyDescent="0.25">
      <c r="G141" s="649"/>
      <c r="H141" s="649"/>
      <c r="I141" s="649"/>
      <c r="J141" s="649"/>
      <c r="K141" s="649"/>
    </row>
    <row r="142" spans="7:11" x14ac:dyDescent="0.25">
      <c r="G142" s="649"/>
      <c r="H142" s="649"/>
      <c r="I142" s="649"/>
      <c r="J142" s="649"/>
      <c r="K142" s="649"/>
    </row>
    <row r="143" spans="7:11" x14ac:dyDescent="0.25">
      <c r="G143" s="649"/>
      <c r="H143" s="649"/>
      <c r="I143" s="649"/>
      <c r="J143" s="649"/>
      <c r="K143" s="649"/>
    </row>
    <row r="144" spans="7:11" x14ac:dyDescent="0.25">
      <c r="G144" s="649"/>
      <c r="H144" s="649"/>
      <c r="I144" s="649"/>
      <c r="J144" s="649"/>
      <c r="K144" s="649"/>
    </row>
    <row r="145" spans="7:11" x14ac:dyDescent="0.25">
      <c r="G145" s="649"/>
      <c r="H145" s="649"/>
      <c r="I145" s="649"/>
      <c r="J145" s="649"/>
      <c r="K145" s="649"/>
    </row>
    <row r="146" spans="7:11" x14ac:dyDescent="0.25">
      <c r="G146" s="649"/>
      <c r="H146" s="649"/>
      <c r="I146" s="649"/>
      <c r="J146" s="649"/>
      <c r="K146" s="649"/>
    </row>
    <row r="147" spans="7:11" x14ac:dyDescent="0.25">
      <c r="G147" s="649"/>
      <c r="H147" s="649"/>
      <c r="I147" s="649"/>
      <c r="J147" s="649"/>
      <c r="K147" s="649"/>
    </row>
    <row r="148" spans="7:11" x14ac:dyDescent="0.25">
      <c r="G148" s="649"/>
      <c r="H148" s="649"/>
      <c r="I148" s="649"/>
      <c r="J148" s="649"/>
      <c r="K148" s="649"/>
    </row>
    <row r="149" spans="7:11" x14ac:dyDescent="0.25">
      <c r="G149" s="649"/>
      <c r="H149" s="649"/>
      <c r="I149" s="649"/>
      <c r="J149" s="649"/>
      <c r="K149" s="649"/>
    </row>
    <row r="150" spans="7:11" x14ac:dyDescent="0.25">
      <c r="G150" s="649"/>
      <c r="H150" s="649"/>
      <c r="I150" s="649"/>
      <c r="J150" s="649"/>
      <c r="K150" s="649"/>
    </row>
    <row r="151" spans="7:11" x14ac:dyDescent="0.25">
      <c r="G151" s="649"/>
      <c r="H151" s="649"/>
      <c r="I151" s="649"/>
      <c r="J151" s="649"/>
      <c r="K151" s="649"/>
    </row>
    <row r="152" spans="7:11" x14ac:dyDescent="0.25">
      <c r="G152" s="649"/>
      <c r="H152" s="649"/>
      <c r="I152" s="649"/>
      <c r="J152" s="649"/>
      <c r="K152" s="649"/>
    </row>
    <row r="153" spans="7:11" x14ac:dyDescent="0.25">
      <c r="G153" s="649"/>
      <c r="H153" s="649"/>
      <c r="I153" s="649"/>
      <c r="J153" s="649"/>
      <c r="K153" s="649"/>
    </row>
    <row r="154" spans="7:11" x14ac:dyDescent="0.25">
      <c r="G154" s="649"/>
      <c r="H154" s="649"/>
      <c r="I154" s="649"/>
      <c r="J154" s="649"/>
      <c r="K154" s="649"/>
    </row>
    <row r="155" spans="7:11" x14ac:dyDescent="0.25">
      <c r="G155" s="649"/>
      <c r="H155" s="649"/>
      <c r="I155" s="649"/>
      <c r="J155" s="649"/>
      <c r="K155" s="649"/>
    </row>
    <row r="156" spans="7:11" x14ac:dyDescent="0.25">
      <c r="G156" s="649"/>
      <c r="H156" s="649"/>
      <c r="I156" s="649"/>
      <c r="J156" s="649"/>
      <c r="K156" s="649"/>
    </row>
    <row r="157" spans="7:11" x14ac:dyDescent="0.25">
      <c r="G157" s="649"/>
      <c r="H157" s="649"/>
      <c r="I157" s="649"/>
      <c r="J157" s="649"/>
      <c r="K157" s="649"/>
    </row>
    <row r="158" spans="7:11" x14ac:dyDescent="0.25">
      <c r="G158" s="649"/>
      <c r="H158" s="649"/>
      <c r="I158" s="649"/>
      <c r="J158" s="649"/>
      <c r="K158" s="649"/>
    </row>
    <row r="159" spans="7:11" x14ac:dyDescent="0.25">
      <c r="G159" s="649"/>
      <c r="H159" s="649"/>
      <c r="I159" s="649"/>
      <c r="J159" s="649"/>
      <c r="K159" s="649"/>
    </row>
    <row r="160" spans="7:11" x14ac:dyDescent="0.25">
      <c r="G160" s="649"/>
      <c r="H160" s="649"/>
      <c r="I160" s="649"/>
      <c r="J160" s="649"/>
      <c r="K160" s="649"/>
    </row>
    <row r="161" spans="7:11" x14ac:dyDescent="0.25">
      <c r="G161" s="649"/>
      <c r="H161" s="649"/>
      <c r="I161" s="649"/>
      <c r="J161" s="649"/>
      <c r="K161" s="649"/>
    </row>
    <row r="162" spans="7:11" x14ac:dyDescent="0.25">
      <c r="G162" s="649"/>
      <c r="H162" s="649"/>
      <c r="I162" s="649"/>
      <c r="J162" s="649"/>
      <c r="K162" s="649"/>
    </row>
    <row r="163" spans="7:11" x14ac:dyDescent="0.25">
      <c r="G163" s="649"/>
      <c r="H163" s="649"/>
      <c r="I163" s="649"/>
      <c r="J163" s="649"/>
      <c r="K163" s="649"/>
    </row>
    <row r="164" spans="7:11" x14ac:dyDescent="0.25">
      <c r="G164" s="649"/>
      <c r="H164" s="649"/>
      <c r="I164" s="649"/>
      <c r="J164" s="649"/>
      <c r="K164" s="649"/>
    </row>
    <row r="165" spans="7:11" x14ac:dyDescent="0.25">
      <c r="G165" s="649"/>
      <c r="H165" s="649"/>
      <c r="I165" s="649"/>
      <c r="J165" s="649"/>
      <c r="K165" s="649"/>
    </row>
    <row r="166" spans="7:11" x14ac:dyDescent="0.25">
      <c r="G166" s="649"/>
      <c r="H166" s="649"/>
      <c r="I166" s="649"/>
      <c r="J166" s="649"/>
      <c r="K166" s="649"/>
    </row>
    <row r="167" spans="7:11" x14ac:dyDescent="0.25">
      <c r="G167" s="649"/>
      <c r="H167" s="649"/>
      <c r="I167" s="649"/>
      <c r="J167" s="649"/>
      <c r="K167" s="649"/>
    </row>
    <row r="168" spans="7:11" x14ac:dyDescent="0.25">
      <c r="G168" s="649"/>
      <c r="H168" s="649"/>
      <c r="I168" s="649"/>
      <c r="J168" s="649"/>
      <c r="K168" s="649"/>
    </row>
    <row r="169" spans="7:11" x14ac:dyDescent="0.25">
      <c r="G169" s="649"/>
      <c r="H169" s="649"/>
      <c r="I169" s="649"/>
      <c r="J169" s="649"/>
      <c r="K169" s="649"/>
    </row>
    <row r="170" spans="7:11" x14ac:dyDescent="0.25">
      <c r="G170" s="649"/>
      <c r="H170" s="649"/>
      <c r="I170" s="649"/>
      <c r="J170" s="649"/>
      <c r="K170" s="649"/>
    </row>
  </sheetData>
  <sheetProtection algorithmName="SHA-512" hashValue="SLueuEY2nSxtjSKXryP9ACh7RxzmOz17s/WWgrTYWj3p/IcHk0HU9bcuDCR8y0zN6o4pTY/9JlV49lf80voREQ==" saltValue="ShVHQeg3ojfjtkt6ux4XqA==" spinCount="100000" sheet="1" selectLockedCells="1"/>
  <mergeCells count="9">
    <mergeCell ref="I35:I66"/>
    <mergeCell ref="J35:J66"/>
    <mergeCell ref="K35:K66"/>
    <mergeCell ref="L35:L66"/>
    <mergeCell ref="A1:C1"/>
    <mergeCell ref="J3:J34"/>
    <mergeCell ref="K3:K34"/>
    <mergeCell ref="L3:L34"/>
    <mergeCell ref="I3:I34"/>
  </mergeCells>
  <phoneticPr fontId="45" type="noConversion"/>
  <conditionalFormatting sqref="F3">
    <cfRule type="cellIs" dxfId="493" priority="42" stopIfTrue="1" operator="greaterThan">
      <formula>$E$3</formula>
    </cfRule>
  </conditionalFormatting>
  <conditionalFormatting sqref="F4">
    <cfRule type="cellIs" dxfId="492" priority="43" stopIfTrue="1" operator="greaterThan">
      <formula>$E$4</formula>
    </cfRule>
  </conditionalFormatting>
  <conditionalFormatting sqref="F5">
    <cfRule type="cellIs" dxfId="491" priority="44" stopIfTrue="1" operator="greaterThan">
      <formula>$E$5</formula>
    </cfRule>
  </conditionalFormatting>
  <conditionalFormatting sqref="F6">
    <cfRule type="cellIs" dxfId="490" priority="45" stopIfTrue="1" operator="greaterThan">
      <formula>$E$6</formula>
    </cfRule>
  </conditionalFormatting>
  <conditionalFormatting sqref="F7">
    <cfRule type="cellIs" dxfId="489" priority="46" stopIfTrue="1" operator="greaterThan">
      <formula>$E$7</formula>
    </cfRule>
  </conditionalFormatting>
  <conditionalFormatting sqref="F8">
    <cfRule type="cellIs" dxfId="488" priority="47" stopIfTrue="1" operator="greaterThan">
      <formula>$E$8</formula>
    </cfRule>
  </conditionalFormatting>
  <conditionalFormatting sqref="F9">
    <cfRule type="cellIs" dxfId="487" priority="48" stopIfTrue="1" operator="greaterThan">
      <formula>$E$9</formula>
    </cfRule>
  </conditionalFormatting>
  <conditionalFormatting sqref="F10">
    <cfRule type="cellIs" dxfId="486" priority="49" stopIfTrue="1" operator="greaterThan">
      <formula>$E$10</formula>
    </cfRule>
  </conditionalFormatting>
  <conditionalFormatting sqref="F11">
    <cfRule type="cellIs" dxfId="485" priority="50" stopIfTrue="1" operator="greaterThan">
      <formula>$E$11</formula>
    </cfRule>
  </conditionalFormatting>
  <conditionalFormatting sqref="F12">
    <cfRule type="cellIs" dxfId="484" priority="51" stopIfTrue="1" operator="greaterThan">
      <formula>$E$12</formula>
    </cfRule>
  </conditionalFormatting>
  <conditionalFormatting sqref="F13">
    <cfRule type="cellIs" dxfId="483" priority="52" stopIfTrue="1" operator="greaterThan">
      <formula>$E$13</formula>
    </cfRule>
  </conditionalFormatting>
  <conditionalFormatting sqref="F14">
    <cfRule type="cellIs" dxfId="482" priority="53" stopIfTrue="1" operator="greaterThan">
      <formula>$E$14</formula>
    </cfRule>
  </conditionalFormatting>
  <conditionalFormatting sqref="F15">
    <cfRule type="cellIs" dxfId="481" priority="54" stopIfTrue="1" operator="greaterThan">
      <formula>$E$15</formula>
    </cfRule>
  </conditionalFormatting>
  <conditionalFormatting sqref="F16">
    <cfRule type="cellIs" dxfId="480" priority="55" stopIfTrue="1" operator="greaterThan">
      <formula>$E$16</formula>
    </cfRule>
  </conditionalFormatting>
  <conditionalFormatting sqref="F17">
    <cfRule type="cellIs" dxfId="479" priority="56" stopIfTrue="1" operator="greaterThan">
      <formula>$E$17</formula>
    </cfRule>
  </conditionalFormatting>
  <conditionalFormatting sqref="F18">
    <cfRule type="cellIs" dxfId="478" priority="57" stopIfTrue="1" operator="greaterThan">
      <formula>$E$18</formula>
    </cfRule>
  </conditionalFormatting>
  <conditionalFormatting sqref="F19">
    <cfRule type="cellIs" dxfId="477" priority="58" stopIfTrue="1" operator="greaterThan">
      <formula>$E$19</formula>
    </cfRule>
  </conditionalFormatting>
  <conditionalFormatting sqref="F20">
    <cfRule type="cellIs" dxfId="476" priority="59" stopIfTrue="1" operator="greaterThan">
      <formula>$E$20</formula>
    </cfRule>
  </conditionalFormatting>
  <conditionalFormatting sqref="F21">
    <cfRule type="cellIs" dxfId="475" priority="60" stopIfTrue="1" operator="greaterThan">
      <formula>$E$21</formula>
    </cfRule>
  </conditionalFormatting>
  <conditionalFormatting sqref="F22">
    <cfRule type="cellIs" dxfId="474" priority="61" stopIfTrue="1" operator="greaterThan">
      <formula>$E$22</formula>
    </cfRule>
  </conditionalFormatting>
  <conditionalFormatting sqref="F23">
    <cfRule type="cellIs" dxfId="473" priority="62" stopIfTrue="1" operator="greaterThan">
      <formula>$E$23</formula>
    </cfRule>
  </conditionalFormatting>
  <conditionalFormatting sqref="F24">
    <cfRule type="cellIs" dxfId="472" priority="63" stopIfTrue="1" operator="greaterThan">
      <formula>$E$24</formula>
    </cfRule>
  </conditionalFormatting>
  <conditionalFormatting sqref="F25">
    <cfRule type="cellIs" dxfId="471" priority="64" stopIfTrue="1" operator="greaterThan">
      <formula>$E$25</formula>
    </cfRule>
  </conditionalFormatting>
  <conditionalFormatting sqref="F26">
    <cfRule type="cellIs" dxfId="470" priority="65" stopIfTrue="1" operator="greaterThan">
      <formula>$E$26</formula>
    </cfRule>
  </conditionalFormatting>
  <conditionalFormatting sqref="F27">
    <cfRule type="cellIs" dxfId="469" priority="66" stopIfTrue="1" operator="greaterThan">
      <formula>$E$27</formula>
    </cfRule>
  </conditionalFormatting>
  <conditionalFormatting sqref="F28">
    <cfRule type="cellIs" dxfId="468" priority="67" stopIfTrue="1" operator="greaterThan">
      <formula>$E$28</formula>
    </cfRule>
  </conditionalFormatting>
  <conditionalFormatting sqref="F29">
    <cfRule type="cellIs" dxfId="467" priority="68" stopIfTrue="1" operator="greaterThan">
      <formula>$E$29</formula>
    </cfRule>
  </conditionalFormatting>
  <conditionalFormatting sqref="F30">
    <cfRule type="cellIs" dxfId="466" priority="69" stopIfTrue="1" operator="greaterThan">
      <formula>$E$30</formula>
    </cfRule>
  </conditionalFormatting>
  <conditionalFormatting sqref="F31">
    <cfRule type="cellIs" dxfId="465" priority="70" stopIfTrue="1" operator="greaterThan">
      <formula>$E$31</formula>
    </cfRule>
  </conditionalFormatting>
  <conditionalFormatting sqref="F32">
    <cfRule type="cellIs" dxfId="464" priority="71" stopIfTrue="1" operator="greaterThan">
      <formula>$E$32</formula>
    </cfRule>
  </conditionalFormatting>
  <conditionalFormatting sqref="F33">
    <cfRule type="cellIs" dxfId="463" priority="72" stopIfTrue="1" operator="greaterThan">
      <formula>$E$33</formula>
    </cfRule>
  </conditionalFormatting>
  <conditionalFormatting sqref="F34">
    <cfRule type="cellIs" dxfId="462" priority="73" stopIfTrue="1" operator="greaterThan">
      <formula>$E$34</formula>
    </cfRule>
  </conditionalFormatting>
  <conditionalFormatting sqref="F35">
    <cfRule type="cellIs" dxfId="461" priority="74" stopIfTrue="1" operator="greaterThan">
      <formula>$E$35</formula>
    </cfRule>
  </conditionalFormatting>
  <conditionalFormatting sqref="F36">
    <cfRule type="cellIs" dxfId="460" priority="75" stopIfTrue="1" operator="greaterThan">
      <formula>$E$36</formula>
    </cfRule>
  </conditionalFormatting>
  <conditionalFormatting sqref="F37">
    <cfRule type="cellIs" dxfId="459" priority="76" stopIfTrue="1" operator="greaterThan">
      <formula>$E$37</formula>
    </cfRule>
  </conditionalFormatting>
  <conditionalFormatting sqref="F38">
    <cfRule type="cellIs" dxfId="458" priority="77" stopIfTrue="1" operator="greaterThan">
      <formula>$E$38</formula>
    </cfRule>
  </conditionalFormatting>
  <conditionalFormatting sqref="F39">
    <cfRule type="cellIs" dxfId="457" priority="78" stopIfTrue="1" operator="greaterThan">
      <formula>$E$39</formula>
    </cfRule>
  </conditionalFormatting>
  <conditionalFormatting sqref="F40">
    <cfRule type="cellIs" dxfId="456" priority="79" stopIfTrue="1" operator="greaterThan">
      <formula>$E$40</formula>
    </cfRule>
  </conditionalFormatting>
  <conditionalFormatting sqref="F41">
    <cfRule type="cellIs" dxfId="455" priority="80" stopIfTrue="1" operator="greaterThan">
      <formula>$E$41</formula>
    </cfRule>
  </conditionalFormatting>
  <conditionalFormatting sqref="F42">
    <cfRule type="cellIs" dxfId="454" priority="81" stopIfTrue="1" operator="greaterThan">
      <formula>$E$42</formula>
    </cfRule>
  </conditionalFormatting>
  <conditionalFormatting sqref="F43">
    <cfRule type="cellIs" dxfId="453" priority="82" stopIfTrue="1" operator="greaterThan">
      <formula>$E$43</formula>
    </cfRule>
  </conditionalFormatting>
  <conditionalFormatting sqref="F44">
    <cfRule type="cellIs" dxfId="452" priority="83" stopIfTrue="1" operator="greaterThan">
      <formula>$E$44</formula>
    </cfRule>
  </conditionalFormatting>
  <conditionalFormatting sqref="F45">
    <cfRule type="cellIs" dxfId="451" priority="84" stopIfTrue="1" operator="greaterThan">
      <formula>$E$45</formula>
    </cfRule>
  </conditionalFormatting>
  <conditionalFormatting sqref="F46">
    <cfRule type="cellIs" dxfId="450" priority="85" stopIfTrue="1" operator="greaterThan">
      <formula>$E$46</formula>
    </cfRule>
  </conditionalFormatting>
  <conditionalFormatting sqref="F47">
    <cfRule type="cellIs" dxfId="449" priority="86" stopIfTrue="1" operator="greaterThan">
      <formula>$E$47</formula>
    </cfRule>
  </conditionalFormatting>
  <conditionalFormatting sqref="F48">
    <cfRule type="cellIs" dxfId="448" priority="87" stopIfTrue="1" operator="greaterThan">
      <formula>$E$48</formula>
    </cfRule>
  </conditionalFormatting>
  <conditionalFormatting sqref="F49">
    <cfRule type="cellIs" dxfId="447" priority="88" stopIfTrue="1" operator="greaterThan">
      <formula>$E$49</formula>
    </cfRule>
  </conditionalFormatting>
  <conditionalFormatting sqref="F50">
    <cfRule type="cellIs" dxfId="446" priority="89" stopIfTrue="1" operator="greaterThan">
      <formula>$E$50</formula>
    </cfRule>
  </conditionalFormatting>
  <conditionalFormatting sqref="F51">
    <cfRule type="cellIs" dxfId="445" priority="90" stopIfTrue="1" operator="greaterThan">
      <formula>$E$51</formula>
    </cfRule>
  </conditionalFormatting>
  <conditionalFormatting sqref="F52">
    <cfRule type="cellIs" dxfId="444" priority="91" stopIfTrue="1" operator="greaterThan">
      <formula>$E$52</formula>
    </cfRule>
  </conditionalFormatting>
  <conditionalFormatting sqref="F53">
    <cfRule type="cellIs" dxfId="443" priority="92" stopIfTrue="1" operator="greaterThan">
      <formula>$E$53</formula>
    </cfRule>
  </conditionalFormatting>
  <conditionalFormatting sqref="F54">
    <cfRule type="cellIs" dxfId="442" priority="93" stopIfTrue="1" operator="greaterThan">
      <formula>$E$54</formula>
    </cfRule>
  </conditionalFormatting>
  <conditionalFormatting sqref="F55">
    <cfRule type="cellIs" dxfId="441" priority="94" stopIfTrue="1" operator="greaterThan">
      <formula>$E$55</formula>
    </cfRule>
  </conditionalFormatting>
  <conditionalFormatting sqref="F56">
    <cfRule type="cellIs" dxfId="440" priority="95" stopIfTrue="1" operator="greaterThan">
      <formula>$E$56</formula>
    </cfRule>
  </conditionalFormatting>
  <conditionalFormatting sqref="F57">
    <cfRule type="cellIs" dxfId="439" priority="96" stopIfTrue="1" operator="greaterThan">
      <formula>$E$57</formula>
    </cfRule>
  </conditionalFormatting>
  <conditionalFormatting sqref="F58">
    <cfRule type="cellIs" dxfId="438" priority="97" stopIfTrue="1" operator="greaterThan">
      <formula>$E$58</formula>
    </cfRule>
  </conditionalFormatting>
  <conditionalFormatting sqref="F59">
    <cfRule type="cellIs" dxfId="437" priority="98" stopIfTrue="1" operator="greaterThan">
      <formula>$E$59</formula>
    </cfRule>
  </conditionalFormatting>
  <conditionalFormatting sqref="F60">
    <cfRule type="cellIs" dxfId="436" priority="99" stopIfTrue="1" operator="greaterThan">
      <formula>$E$60</formula>
    </cfRule>
  </conditionalFormatting>
  <conditionalFormatting sqref="F61">
    <cfRule type="cellIs" dxfId="435" priority="100" stopIfTrue="1" operator="greaterThan">
      <formula>$E$61</formula>
    </cfRule>
  </conditionalFormatting>
  <conditionalFormatting sqref="F62">
    <cfRule type="cellIs" dxfId="434" priority="103" stopIfTrue="1" operator="greaterThan">
      <formula>$E$62</formula>
    </cfRule>
  </conditionalFormatting>
  <conditionalFormatting sqref="F63">
    <cfRule type="cellIs" dxfId="433" priority="104" stopIfTrue="1" operator="greaterThan">
      <formula>$E$63</formula>
    </cfRule>
  </conditionalFormatting>
  <conditionalFormatting sqref="F64">
    <cfRule type="cellIs" dxfId="432" priority="105" stopIfTrue="1" operator="greaterThan">
      <formula>$E$64</formula>
    </cfRule>
  </conditionalFormatting>
  <conditionalFormatting sqref="F65">
    <cfRule type="cellIs" dxfId="431" priority="101" stopIfTrue="1" operator="greaterThan">
      <formula>$E$65</formula>
    </cfRule>
  </conditionalFormatting>
  <conditionalFormatting sqref="F66">
    <cfRule type="cellIs" dxfId="430" priority="102" stopIfTrue="1" operator="greaterThan">
      <formula>$E$66</formula>
    </cfRule>
  </conditionalFormatting>
  <conditionalFormatting sqref="G4 G6 G8 G10 G12 G14 G16 G18 G20 G22 G24 G26 G28 G30 G32 G34 G36 G38 G40 G42 G44 G46 G48 G50 G52 G54 G56 G58 G60 G62 G64 G66">
    <cfRule type="cellIs" dxfId="429" priority="40" stopIfTrue="1" operator="notBetween">
      <formula>2</formula>
      <formula>-2</formula>
    </cfRule>
  </conditionalFormatting>
  <conditionalFormatting sqref="G5 G7 G9 G11 G13 G15 G17 G19 G21 G23 G25 G27 G29 G31 G33 G37 G39 G41 G43 G45 G47 G49 G51 G53 G55 G57 G59 G61 G63 G65">
    <cfRule type="cellIs" dxfId="428" priority="41" stopIfTrue="1" operator="notBetween">
      <formula>500</formula>
      <formula>-500</formula>
    </cfRule>
  </conditionalFormatting>
  <conditionalFormatting sqref="H3:H66">
    <cfRule type="cellIs" dxfId="427" priority="39" stopIfTrue="1" operator="greaterThan">
      <formula>2</formula>
    </cfRule>
  </conditionalFormatting>
  <conditionalFormatting sqref="D3:D4">
    <cfRule type="cellIs" dxfId="426" priority="6" operator="greaterThan">
      <formula>$E$4</formula>
    </cfRule>
  </conditionalFormatting>
  <conditionalFormatting sqref="D5:D6">
    <cfRule type="cellIs" dxfId="425" priority="5" operator="greaterThan">
      <formula>$E$4</formula>
    </cfRule>
  </conditionalFormatting>
  <conditionalFormatting sqref="D7:D8">
    <cfRule type="cellIs" dxfId="424" priority="4" operator="greaterThan">
      <formula>$E$4</formula>
    </cfRule>
  </conditionalFormatting>
  <conditionalFormatting sqref="D9:D10">
    <cfRule type="cellIs" dxfId="423" priority="3" operator="greaterThan">
      <formula>$E$4</formula>
    </cfRule>
  </conditionalFormatting>
  <conditionalFormatting sqref="D11:D12">
    <cfRule type="cellIs" dxfId="422" priority="2" operator="greaterThan">
      <formula>$E$4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6"/>
  <dimension ref="A1:AU59"/>
  <sheetViews>
    <sheetView zoomScale="75" workbookViewId="0">
      <selection activeCell="AS27" sqref="AS27"/>
    </sheetView>
  </sheetViews>
  <sheetFormatPr defaultRowHeight="12.75" x14ac:dyDescent="0.2"/>
  <cols>
    <col min="12" max="12" width="11.85546875" customWidth="1"/>
    <col min="13" max="13" width="13" customWidth="1"/>
    <col min="18" max="18" width="18.42578125" customWidth="1"/>
    <col min="19" max="19" width="18" customWidth="1"/>
    <col min="20" max="20" width="18.140625" customWidth="1"/>
    <col min="21" max="21" width="11" customWidth="1"/>
    <col min="22" max="22" width="12.85546875" customWidth="1"/>
    <col min="23" max="23" width="15.5703125" customWidth="1"/>
    <col min="24" max="24" width="19.28515625" customWidth="1"/>
    <col min="25" max="25" width="17.5703125" customWidth="1"/>
    <col min="26" max="26" width="18.42578125" customWidth="1"/>
    <col min="27" max="27" width="11.28515625" customWidth="1"/>
    <col min="28" max="28" width="11" customWidth="1"/>
    <col min="31" max="31" width="16.42578125" customWidth="1"/>
    <col min="32" max="32" width="18.28515625" customWidth="1"/>
    <col min="33" max="33" width="22.42578125" customWidth="1"/>
    <col min="34" max="34" width="19.42578125" customWidth="1"/>
    <col min="35" max="35" width="19" customWidth="1"/>
    <col min="36" max="36" width="18.140625" customWidth="1"/>
    <col min="37" max="37" width="18.85546875" customWidth="1"/>
    <col min="38" max="38" width="20.85546875" customWidth="1"/>
    <col min="39" max="40" width="25.85546875" customWidth="1"/>
    <col min="41" max="41" width="25.42578125" customWidth="1"/>
    <col min="42" max="42" width="27.42578125" customWidth="1"/>
    <col min="43" max="43" width="20.7109375" customWidth="1"/>
    <col min="44" max="44" width="24.42578125" customWidth="1"/>
  </cols>
  <sheetData>
    <row r="1" spans="1:46" s="2" customFormat="1" ht="26.25" x14ac:dyDescent="0.2">
      <c r="A1" s="1001" t="s">
        <v>68</v>
      </c>
      <c r="B1" s="1001"/>
      <c r="C1" s="1001"/>
      <c r="D1" s="1001"/>
      <c r="E1" s="1001"/>
      <c r="F1" s="1002" t="e">
        <f ca="1">IF(AND(AT7="Pass", AT20="Pass", AT27="Pass", AT34="Pass", AT41="Pass"),"Pass","Fail")</f>
        <v>#NAME?</v>
      </c>
      <c r="G1" s="1002"/>
    </row>
    <row r="2" spans="1:46" s="82" customFormat="1" x14ac:dyDescent="0.2">
      <c r="A2" s="427" t="s">
        <v>58</v>
      </c>
      <c r="B2" s="428" t="s">
        <v>241</v>
      </c>
      <c r="C2" s="83"/>
      <c r="D2" s="83"/>
      <c r="E2" s="83"/>
      <c r="F2" s="122"/>
      <c r="G2" s="122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237"/>
    </row>
    <row r="3" spans="1:46" s="133" customFormat="1" ht="73.5" customHeight="1" x14ac:dyDescent="0.2">
      <c r="A3" s="123" t="s">
        <v>494</v>
      </c>
      <c r="B3" s="123" t="s">
        <v>457</v>
      </c>
      <c r="C3" s="193" t="s">
        <v>70</v>
      </c>
      <c r="D3" s="130"/>
      <c r="E3" s="127" t="s">
        <v>567</v>
      </c>
      <c r="F3" s="127" t="s">
        <v>568</v>
      </c>
      <c r="G3" s="127" t="s">
        <v>569</v>
      </c>
      <c r="H3" s="127" t="s">
        <v>570</v>
      </c>
      <c r="I3" s="130" t="s">
        <v>571</v>
      </c>
      <c r="J3" s="130" t="s">
        <v>572</v>
      </c>
      <c r="K3" s="129"/>
      <c r="L3" s="128" t="s">
        <v>573</v>
      </c>
      <c r="M3" s="129" t="s">
        <v>574</v>
      </c>
      <c r="N3" s="130"/>
      <c r="O3" s="131" t="s">
        <v>71</v>
      </c>
      <c r="P3" s="130" t="s">
        <v>575</v>
      </c>
      <c r="Q3" s="129" t="s">
        <v>576</v>
      </c>
      <c r="R3" s="131" t="s">
        <v>577</v>
      </c>
      <c r="S3" s="130" t="s">
        <v>578</v>
      </c>
      <c r="T3" s="132" t="s">
        <v>579</v>
      </c>
      <c r="U3" s="132" t="s">
        <v>580</v>
      </c>
      <c r="V3" s="132" t="s">
        <v>581</v>
      </c>
      <c r="W3" s="129" t="s">
        <v>582</v>
      </c>
      <c r="X3" s="129" t="s">
        <v>583</v>
      </c>
      <c r="Y3" s="129" t="s">
        <v>584</v>
      </c>
      <c r="Z3" s="129" t="s">
        <v>585</v>
      </c>
    </row>
    <row r="4" spans="1:46" s="4" customFormat="1" ht="12.75" customHeight="1" x14ac:dyDescent="0.2">
      <c r="A4" s="415" t="s">
        <v>259</v>
      </c>
      <c r="B4" s="134"/>
      <c r="C4" s="134"/>
      <c r="D4" s="135"/>
      <c r="E4" s="135"/>
      <c r="F4" s="135"/>
      <c r="G4" s="135"/>
      <c r="H4" s="135"/>
      <c r="I4" s="135"/>
      <c r="J4" s="135"/>
      <c r="K4" s="135"/>
      <c r="L4" s="135"/>
      <c r="M4" s="136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243"/>
      <c r="AA4" s="138"/>
    </row>
    <row r="5" spans="1:46" s="4" customFormat="1" ht="11.25" x14ac:dyDescent="0.2">
      <c r="A5" s="140" t="s">
        <v>66</v>
      </c>
      <c r="B5" s="141"/>
      <c r="C5" s="141"/>
      <c r="D5" s="142"/>
      <c r="E5" s="143"/>
      <c r="F5" s="143"/>
      <c r="G5" s="143"/>
      <c r="H5" s="143"/>
      <c r="I5" s="144"/>
      <c r="J5" s="143"/>
      <c r="K5" s="144"/>
      <c r="L5" s="143"/>
      <c r="M5" s="145"/>
      <c r="N5" s="142"/>
      <c r="O5" s="518"/>
      <c r="P5" s="481">
        <v>2567.4899999999998</v>
      </c>
      <c r="Q5" s="481">
        <v>2573.4570078740157</v>
      </c>
      <c r="R5" s="145"/>
      <c r="S5" s="145"/>
      <c r="T5" s="145"/>
      <c r="U5" s="482"/>
      <c r="V5" s="483"/>
      <c r="W5" s="483"/>
      <c r="X5" s="483"/>
      <c r="Y5" s="483"/>
      <c r="Z5" s="484"/>
    </row>
    <row r="6" spans="1:46" s="4" customFormat="1" ht="11.25" x14ac:dyDescent="0.2">
      <c r="A6" s="415" t="s">
        <v>260</v>
      </c>
      <c r="B6" s="134"/>
      <c r="C6" s="134"/>
      <c r="D6" s="155"/>
      <c r="E6" s="156"/>
      <c r="F6" s="156"/>
      <c r="G6" s="156"/>
      <c r="H6" s="156"/>
      <c r="I6" s="157"/>
      <c r="J6" s="157"/>
      <c r="K6" s="156"/>
      <c r="L6" s="156"/>
      <c r="M6" s="156"/>
      <c r="N6" s="155"/>
      <c r="O6" s="155"/>
      <c r="P6" s="155"/>
      <c r="Q6" s="476"/>
      <c r="R6" s="155"/>
      <c r="S6" s="155"/>
      <c r="T6" s="155"/>
      <c r="U6" s="155"/>
      <c r="V6" s="155"/>
      <c r="W6" s="155"/>
      <c r="X6" s="155"/>
      <c r="Y6" s="155"/>
      <c r="Z6" s="478"/>
    </row>
    <row r="7" spans="1:46" s="4" customFormat="1" x14ac:dyDescent="0.2">
      <c r="A7" s="503" t="s">
        <v>80</v>
      </c>
      <c r="B7" s="573" t="s">
        <v>388</v>
      </c>
      <c r="C7" s="562">
        <v>468.42519685039372</v>
      </c>
      <c r="D7" s="200"/>
      <c r="E7" s="17">
        <v>22.63</v>
      </c>
      <c r="F7" s="246">
        <v>0</v>
      </c>
      <c r="G7">
        <v>1406.07</v>
      </c>
      <c r="H7">
        <v>135.41999999999999</v>
      </c>
      <c r="I7" s="165">
        <v>0</v>
      </c>
      <c r="J7" s="551">
        <v>41.81</v>
      </c>
      <c r="K7" s="316"/>
      <c r="L7" s="490">
        <f xml:space="preserve"> E7+F7+G7+H7</f>
        <v>1564.1200000000001</v>
      </c>
      <c r="M7" s="479">
        <f>IF($B$2="mil",1,0.0254)*C7+ L7</f>
        <v>2032.5451968503939</v>
      </c>
      <c r="N7" s="468"/>
      <c r="O7" s="479">
        <f>M7-($P$5-1250)</f>
        <v>715.05519685039417</v>
      </c>
      <c r="P7" s="469">
        <v>1573.4570078740157</v>
      </c>
      <c r="Q7" s="469">
        <v>2567.4899999999998</v>
      </c>
      <c r="R7" s="491" t="str">
        <f>IF($M7&lt;$P7,$P7-$M7,"Pass")</f>
        <v>Pass</v>
      </c>
      <c r="S7" s="492" t="str">
        <f>IF($M7&gt;$Q7,$M7-$Q7,"Pass")</f>
        <v>Pass</v>
      </c>
      <c r="T7" s="472" t="str">
        <f>IF($E7&lt;=IF($B$2="mil",1,0.0254)*50,"Pass",IF($B$2="mil",1,0.0254)*50-$E7)</f>
        <v>Pass</v>
      </c>
      <c r="U7" s="473" t="str">
        <f>IF($F7&lt;=IF($B$2="mil",1,0.0254)*500,"Pass",IF($B$2="mil",1,0.0254)*500-$F7)</f>
        <v>Pass</v>
      </c>
      <c r="V7" s="473" t="str">
        <f>IF($H7&lt;=IF($B$2="mil",1,0.0254)*200,"Pass",IF($B$2="mil",1,0.0254)*200-$H7)</f>
        <v>Pass</v>
      </c>
      <c r="W7" s="473" t="str">
        <f>IF(AND($L7&gt;=IF($B$2="mil",1,0.0254)*500, $L7&lt;=IF($B$2="mil",1,0.0254)*3500),"Pass",IF($B$2="mil",1,0.0254)*3500-$L7)</f>
        <v>Pass</v>
      </c>
      <c r="X7" s="473" t="str">
        <f>IF(AND($M7&gt;=IF($B$2="mil",1,0.0254)*500, $M7&lt;=IF($B$2="mil",1,0.0254)*4000),"Pass",IF($B$2="mil",1,0.0254)*4000-$M7)</f>
        <v>Pass</v>
      </c>
      <c r="Y7" s="473" t="str">
        <f>IF((I7&lt;=IF($B$2="mil",1,0.0254)*1300),"Pass",IF($B$2="mil",1,0.0254)*1300-I7)</f>
        <v>Pass</v>
      </c>
      <c r="Z7" s="474" t="e">
        <f ca="1">CheckLength2(IF($B$2="mil",1,0.0254)*1500,I7,J7,0)</f>
        <v>#NAME?</v>
      </c>
      <c r="AS7" s="4" t="e">
        <f ca="1">IF(AND(T7="Pass",Y7="Pass",X7="Pass",W7="Pass",V7="Pass",U7="Pass",R7="Pass",S7="Pass",Z7="Pass"),"Pass","Fail")</f>
        <v>#NAME?</v>
      </c>
      <c r="AT7" s="4" t="e">
        <f ca="1">IF(AND(AS7="Pass", AS8="Pass", AS10="Pass", AS11="Pass", AS13="Pass", AS14="Pass"),"Pass","Fail")</f>
        <v>#NAME?</v>
      </c>
    </row>
    <row r="8" spans="1:46" s="4" customFormat="1" x14ac:dyDescent="0.2">
      <c r="A8" s="503" t="s">
        <v>82</v>
      </c>
      <c r="B8" s="573" t="s">
        <v>386</v>
      </c>
      <c r="C8" s="562">
        <v>270.6692913385827</v>
      </c>
      <c r="D8" s="201"/>
      <c r="E8" s="17">
        <v>22.63</v>
      </c>
      <c r="F8" s="246">
        <v>0</v>
      </c>
      <c r="G8">
        <v>1215.79</v>
      </c>
      <c r="H8">
        <v>126.24</v>
      </c>
      <c r="I8" s="165">
        <v>0</v>
      </c>
      <c r="J8" s="551">
        <v>32.5</v>
      </c>
      <c r="K8" s="316"/>
      <c r="L8" s="490">
        <f xml:space="preserve"> E8+F8+G8+H8</f>
        <v>1364.66</v>
      </c>
      <c r="M8" s="479">
        <f>IF($B$2="mil",1,0.0254)*C8+ L8</f>
        <v>1635.3292913385828</v>
      </c>
      <c r="N8" s="475"/>
      <c r="O8" s="479">
        <f>M8-($P$5-1250)</f>
        <v>317.83929133858305</v>
      </c>
      <c r="P8" s="469">
        <v>1573.4570078740157</v>
      </c>
      <c r="Q8" s="469">
        <v>2567.4899999999998</v>
      </c>
      <c r="R8" s="491" t="str">
        <f>IF($M8&lt;$P8,$P8-$M8,"Pass")</f>
        <v>Pass</v>
      </c>
      <c r="S8" s="492" t="str">
        <f>IF($M8&gt;$Q8,$M8-$Q8,"Pass")</f>
        <v>Pass</v>
      </c>
      <c r="T8" s="472" t="str">
        <f>IF($E8&lt;=IF($B$2="mil",1,0.0254)*50,"Pass",IF($B$2="mil",1,0.0254)*50-$E8)</f>
        <v>Pass</v>
      </c>
      <c r="U8" s="473" t="str">
        <f>IF($F8&lt;=IF($B$2="mil",1,0.0254)*500,"Pass",IF($B$2="mil",1,0.0254)*500-$F8)</f>
        <v>Pass</v>
      </c>
      <c r="V8" s="473" t="str">
        <f>IF($H8&lt;=IF($B$2="mil",1,0.0254)*200,"Pass",IF($B$2="mil",1,0.0254)*200-$H8)</f>
        <v>Pass</v>
      </c>
      <c r="W8" s="473" t="str">
        <f>IF(AND($L8&gt;=IF($B$2="mil",1,0.0254)*500, $L8&lt;=IF($B$2="mil",1,0.0254)*3500),"Pass",IF($B$2="mil",1,0.0254)*3500-$L8)</f>
        <v>Pass</v>
      </c>
      <c r="X8" s="473" t="str">
        <f>IF(AND($M8&gt;=IF($B$2="mil",1,0.0254)*500, $M8&lt;=IF($B$2="mil",1,0.0254)*4000),"Pass",IF($B$2="mil",1,0.0254)*4000-$M8)</f>
        <v>Pass</v>
      </c>
      <c r="Y8" s="473" t="str">
        <f>IF((I8&lt;=IF($B$2="mil",1,0.0254)*1300),"Pass",IF($B$2="mil",1,0.0254)*1300-I8)</f>
        <v>Pass</v>
      </c>
      <c r="Z8" s="474" t="e">
        <f ca="1">CheckLength2(IF($B$2="mil",1,0.0254)*1500,I8,J8,0)</f>
        <v>#NAME?</v>
      </c>
      <c r="AS8" s="4" t="e">
        <f ca="1">IF(AND(T8="Pass",Y8="Pass",X8="Pass",W8="Pass",V8="Pass",U8="Pass",R8="Pass",S8="Pass",Z8="Pass"),"Pass","Fail")</f>
        <v>#NAME?</v>
      </c>
    </row>
    <row r="9" spans="1:46" s="4" customFormat="1" ht="12" x14ac:dyDescent="0.2">
      <c r="A9" s="415" t="s">
        <v>256</v>
      </c>
      <c r="B9" s="134"/>
      <c r="C9" s="566"/>
      <c r="D9" s="155"/>
      <c r="E9" s="313"/>
      <c r="F9" s="314"/>
      <c r="G9" s="315"/>
      <c r="H9" s="315"/>
      <c r="I9" s="317"/>
      <c r="J9" s="317"/>
      <c r="K9" s="182"/>
      <c r="L9" s="519"/>
      <c r="M9" s="182"/>
      <c r="N9" s="182"/>
      <c r="O9" s="182"/>
      <c r="P9" s="182"/>
      <c r="Q9" s="182"/>
      <c r="R9" s="515"/>
      <c r="S9" s="515"/>
      <c r="T9" s="515"/>
      <c r="U9" s="493"/>
      <c r="V9" s="493"/>
      <c r="W9" s="385"/>
      <c r="X9" s="385"/>
      <c r="Y9" s="385"/>
      <c r="Z9" s="494"/>
    </row>
    <row r="10" spans="1:46" s="4" customFormat="1" x14ac:dyDescent="0.2">
      <c r="A10" s="503" t="s">
        <v>83</v>
      </c>
      <c r="B10" s="573" t="s">
        <v>133</v>
      </c>
      <c r="C10" s="562">
        <v>361.10236220472444</v>
      </c>
      <c r="D10" s="200"/>
      <c r="E10" s="17">
        <v>22.63</v>
      </c>
      <c r="F10" s="246">
        <v>0</v>
      </c>
      <c r="G10">
        <v>1257.76</v>
      </c>
      <c r="H10">
        <v>89.36</v>
      </c>
      <c r="I10" s="169">
        <v>0</v>
      </c>
      <c r="J10" s="551">
        <v>85.78</v>
      </c>
      <c r="K10" s="316"/>
      <c r="L10" s="490">
        <f xml:space="preserve"> E10+F10+G10+H10</f>
        <v>1369.75</v>
      </c>
      <c r="M10" s="479">
        <f>IF($B$2="mil",1,0.0254)*C10+ L10</f>
        <v>1730.8523622047244</v>
      </c>
      <c r="N10" s="468"/>
      <c r="O10" s="479">
        <f>M10-($P$5-1250)</f>
        <v>413.3623622047246</v>
      </c>
      <c r="P10" s="469">
        <v>1573.4570078740157</v>
      </c>
      <c r="Q10" s="469">
        <v>2567.4899999999998</v>
      </c>
      <c r="R10" s="491" t="str">
        <f>IF($M10&lt;$P10,$P10-$M10,"Pass")</f>
        <v>Pass</v>
      </c>
      <c r="S10" s="492" t="str">
        <f>IF($M10&gt;$Q10,$M10-$Q10,"Pass")</f>
        <v>Pass</v>
      </c>
      <c r="T10" s="472" t="str">
        <f>IF($E10&lt;=IF($B$2="mil",1,0.0254)*50,"Pass",IF($B$2="mil",1,0.0254)*50-$E10)</f>
        <v>Pass</v>
      </c>
      <c r="U10" s="473" t="str">
        <f>IF($F10&lt;=IF($B$2="mil",1,0.0254)*500,"Pass",IF($B$2="mil",1,0.0254)*500-$F10)</f>
        <v>Pass</v>
      </c>
      <c r="V10" s="473" t="str">
        <f>IF($H10&lt;=IF($B$2="mil",1,0.0254)*200,"Pass",IF($B$2="mil",1,0.0254)*200-$H10)</f>
        <v>Pass</v>
      </c>
      <c r="W10" s="473" t="str">
        <f>IF(AND($L10&gt;=IF($B$2="mil",1,0.0254)*500, $L10&lt;=IF($B$2="mil",1,0.0254)*3500),"Pass",IF($B$2="mil",1,0.0254)*3500-$L10)</f>
        <v>Pass</v>
      </c>
      <c r="X10" s="473" t="str">
        <f>IF(AND($M10&gt;=IF($B$2="mil",1,0.0254)*500, $M10&lt;=IF($B$2="mil",1,0.0254)*4000),"Pass",IF($B$2="mil",1,0.0254)*4000-$M10)</f>
        <v>Pass</v>
      </c>
      <c r="Y10" s="473" t="str">
        <f>IF((I10&lt;=IF($B$2="mil",1,0.0254)*1300),"Pass",IF($B$2="mil",1,0.0254)*1300-I10)</f>
        <v>Pass</v>
      </c>
      <c r="Z10" s="474" t="e">
        <f ca="1">CheckLength2(IF($B$2="mil",1,0.0254)*1500,I10,J10,0)</f>
        <v>#NAME?</v>
      </c>
      <c r="AS10" s="4" t="e">
        <f ca="1">IF(AND(T10="Pass",Y10="Pass",X10="Pass",W10="Pass",V10="Pass",U10="Pass",R10="Pass",S10="Pass",Z10="Pass"),"Pass","Fail")</f>
        <v>#NAME?</v>
      </c>
    </row>
    <row r="11" spans="1:46" s="4" customFormat="1" x14ac:dyDescent="0.2">
      <c r="A11" s="503" t="s">
        <v>84</v>
      </c>
      <c r="B11" s="573" t="s">
        <v>381</v>
      </c>
      <c r="C11" s="562">
        <v>365.03937007874021</v>
      </c>
      <c r="D11" s="202"/>
      <c r="E11" s="17">
        <v>22.63</v>
      </c>
      <c r="F11" s="246">
        <v>0</v>
      </c>
      <c r="G11">
        <v>1371.22</v>
      </c>
      <c r="H11">
        <v>126.78</v>
      </c>
      <c r="I11" s="169">
        <v>0</v>
      </c>
      <c r="J11" s="551">
        <v>42.5</v>
      </c>
      <c r="K11" s="316"/>
      <c r="L11" s="490">
        <f xml:space="preserve"> E11+F11+G11+H11</f>
        <v>1520.63</v>
      </c>
      <c r="M11" s="479">
        <f>IF($B$2="mil",1,0.0254)*C11+ L11</f>
        <v>1885.6693700787403</v>
      </c>
      <c r="N11" s="520"/>
      <c r="O11" s="479">
        <f>M11-($P$5-1250)</f>
        <v>568.17937007874048</v>
      </c>
      <c r="P11" s="469">
        <v>1573.4570078740157</v>
      </c>
      <c r="Q11" s="469">
        <v>2567.4899999999998</v>
      </c>
      <c r="R11" s="491" t="str">
        <f>IF($M11&lt;$P11,$P11-$M11,"Pass")</f>
        <v>Pass</v>
      </c>
      <c r="S11" s="492" t="str">
        <f>IF($M11&gt;$Q11,$M11-$Q11,"Pass")</f>
        <v>Pass</v>
      </c>
      <c r="T11" s="472" t="str">
        <f>IF($E11&lt;=IF($B$2="mil",1,0.0254)*50,"Pass",IF($B$2="mil",1,0.0254)*50-$E11)</f>
        <v>Pass</v>
      </c>
      <c r="U11" s="473" t="str">
        <f>IF($F11&lt;=IF($B$2="mil",1,0.0254)*500,"Pass",IF($B$2="mil",1,0.0254)*500-$F11)</f>
        <v>Pass</v>
      </c>
      <c r="V11" s="473" t="str">
        <f>IF($H11&lt;=IF($B$2="mil",1,0.0254)*200,"Pass",IF($B$2="mil",1,0.0254)*200-$H11)</f>
        <v>Pass</v>
      </c>
      <c r="W11" s="473" t="str">
        <f>IF(AND($L11&gt;=IF($B$2="mil",1,0.0254)*500, $L11&lt;=IF($B$2="mil",1,0.0254)*3500),"Pass",IF($B$2="mil",1,0.0254)*3500-$L11)</f>
        <v>Pass</v>
      </c>
      <c r="X11" s="473" t="str">
        <f>IF(AND($M11&gt;=IF($B$2="mil",1,0.0254)*500, $M11&lt;=IF($B$2="mil",1,0.0254)*4000),"Pass",IF($B$2="mil",1,0.0254)*4000-$M11)</f>
        <v>Pass</v>
      </c>
      <c r="Y11" s="473" t="str">
        <f>IF((I11&lt;=IF($B$2="mil",1,0.0254)*1300),"Pass",IF($B$2="mil",1,0.0254)*1300-I11)</f>
        <v>Pass</v>
      </c>
      <c r="Z11" s="474" t="e">
        <f ca="1">CheckLength2(IF($B$2="mil",1,0.0254)*1500,I11,J11,0)</f>
        <v>#NAME?</v>
      </c>
      <c r="AS11" s="4" t="e">
        <f ca="1">IF(AND(T11="Pass",Y11="Pass",X11="Pass",W11="Pass",V11="Pass",U11="Pass",R11="Pass",S11="Pass",Z11="Pass"),"Pass","Fail")</f>
        <v>#NAME?</v>
      </c>
    </row>
    <row r="12" spans="1:46" s="4" customFormat="1" ht="12" x14ac:dyDescent="0.2">
      <c r="A12" s="415" t="s">
        <v>257</v>
      </c>
      <c r="B12" s="134"/>
      <c r="C12" s="566"/>
      <c r="D12" s="155"/>
      <c r="E12" s="313"/>
      <c r="F12" s="314"/>
      <c r="G12" s="315"/>
      <c r="H12" s="315"/>
      <c r="I12" s="553"/>
      <c r="J12" s="553"/>
      <c r="K12" s="182"/>
      <c r="L12" s="519"/>
      <c r="M12" s="182"/>
      <c r="N12" s="182"/>
      <c r="O12" s="182"/>
      <c r="P12" s="182"/>
      <c r="Q12" s="182"/>
      <c r="R12" s="515"/>
      <c r="S12" s="515"/>
      <c r="T12" s="515"/>
      <c r="U12" s="493"/>
      <c r="V12" s="493"/>
      <c r="W12" s="385"/>
      <c r="X12" s="385"/>
      <c r="Y12" s="385"/>
      <c r="Z12" s="494"/>
    </row>
    <row r="13" spans="1:46" s="4" customFormat="1" x14ac:dyDescent="0.2">
      <c r="A13" s="503" t="s">
        <v>85</v>
      </c>
      <c r="B13" s="573" t="s">
        <v>364</v>
      </c>
      <c r="C13" s="562">
        <v>280.70866141732284</v>
      </c>
      <c r="D13" s="200"/>
      <c r="E13" s="17">
        <v>22.63</v>
      </c>
      <c r="F13" s="246">
        <v>0</v>
      </c>
      <c r="G13">
        <v>1240.18</v>
      </c>
      <c r="H13">
        <v>126.91</v>
      </c>
      <c r="I13" s="169">
        <v>0</v>
      </c>
      <c r="J13" s="551">
        <v>32.5</v>
      </c>
      <c r="K13" s="316"/>
      <c r="L13" s="490">
        <f xml:space="preserve"> E13+F13+G13+H13</f>
        <v>1389.7200000000003</v>
      </c>
      <c r="M13" s="479">
        <f>IF($B$2="mil",1,0.0254)*C13+ L13</f>
        <v>1670.4286614173232</v>
      </c>
      <c r="N13" s="468"/>
      <c r="O13" s="479">
        <f>M13-($P$5-1250)</f>
        <v>352.93866141732337</v>
      </c>
      <c r="P13" s="469">
        <v>1573.4570078740157</v>
      </c>
      <c r="Q13" s="469">
        <v>2567.4899999999998</v>
      </c>
      <c r="R13" s="491" t="str">
        <f>IF($M13&lt;$P13,$P13-$M13,"Pass")</f>
        <v>Pass</v>
      </c>
      <c r="S13" s="492" t="str">
        <f>IF($M13&gt;$Q13,$M13-$Q13,"Pass")</f>
        <v>Pass</v>
      </c>
      <c r="T13" s="472" t="str">
        <f>IF($E13&lt;=IF($B$2="mil",1,0.0254)*50,"Pass",IF($B$2="mil",1,0.0254)*50-$E13)</f>
        <v>Pass</v>
      </c>
      <c r="U13" s="473" t="str">
        <f>IF($F13&lt;=IF($B$2="mil",1,0.0254)*500,"Pass",IF($B$2="mil",1,0.0254)*500-$F13)</f>
        <v>Pass</v>
      </c>
      <c r="V13" s="473" t="str">
        <f>IF($H13&lt;=IF($B$2="mil",1,0.0254)*200,"Pass",IF($B$2="mil",1,0.0254)*200-$H13)</f>
        <v>Pass</v>
      </c>
      <c r="W13" s="473" t="str">
        <f>IF(AND($L13&gt;=IF($B$2="mil",1,0.0254)*500, $L13&lt;=IF($B$2="mil",1,0.0254)*3500),"Pass",IF($B$2="mil",1,0.0254)*3500-$L13)</f>
        <v>Pass</v>
      </c>
      <c r="X13" s="473" t="str">
        <f>IF(AND($M13&gt;=IF($B$2="mil",1,0.0254)*500, $M13&lt;=IF($B$2="mil",1,0.0254)*4000),"Pass",IF($B$2="mil",1,0.0254)*4000-$M13)</f>
        <v>Pass</v>
      </c>
      <c r="Y13" s="473" t="str">
        <f>IF((I13&lt;=IF($B$2="mil",1,0.0254)*1300),"Pass",IF($B$2="mil",1,0.0254)*1300-I13)</f>
        <v>Pass</v>
      </c>
      <c r="Z13" s="474" t="e">
        <f ca="1">CheckLength2(IF($B$2="mil",1,0.0254)*1500,I13,J13,0)</f>
        <v>#NAME?</v>
      </c>
      <c r="AS13" s="4" t="e">
        <f ca="1">IF(AND(T13="Pass",Y13="Pass",X13="Pass",W13="Pass",V13="Pass",U13="Pass",R13="Pass",S13="Pass",Z13="Pass"),"Pass","Fail")</f>
        <v>#NAME?</v>
      </c>
    </row>
    <row r="14" spans="1:46" s="4" customFormat="1" x14ac:dyDescent="0.2">
      <c r="A14" s="503" t="s">
        <v>86</v>
      </c>
      <c r="B14" s="573" t="s">
        <v>385</v>
      </c>
      <c r="C14" s="562">
        <v>459.64566929133861</v>
      </c>
      <c r="D14" s="201"/>
      <c r="E14" s="17">
        <v>22.63</v>
      </c>
      <c r="F14" s="246">
        <v>0</v>
      </c>
      <c r="G14">
        <v>1351.67</v>
      </c>
      <c r="H14">
        <v>132.19999999999999</v>
      </c>
      <c r="I14" s="169">
        <v>0</v>
      </c>
      <c r="J14" s="551">
        <v>44.57</v>
      </c>
      <c r="K14" s="316"/>
      <c r="L14" s="490">
        <f xml:space="preserve"> E14+F14+G14+H14</f>
        <v>1506.5000000000002</v>
      </c>
      <c r="M14" s="479">
        <f>IF($B$2="mil",1,0.0254)*C14+ L14</f>
        <v>1966.1456692913389</v>
      </c>
      <c r="N14" s="475"/>
      <c r="O14" s="479">
        <f>M14-($P$5-1250)</f>
        <v>648.65566929133911</v>
      </c>
      <c r="P14" s="469">
        <v>1573.4570078740157</v>
      </c>
      <c r="Q14" s="469">
        <v>2567.4899999999998</v>
      </c>
      <c r="R14" s="491" t="str">
        <f>IF($M14&lt;$P14,$P14-$M14,"Pass")</f>
        <v>Pass</v>
      </c>
      <c r="S14" s="492" t="str">
        <f>IF($M14&gt;$Q14,$M14-$Q14,"Pass")</f>
        <v>Pass</v>
      </c>
      <c r="T14" s="472" t="str">
        <f>IF($E14&lt;=IF($B$2="mil",1,0.0254)*50,"Pass",IF($B$2="mil",1,0.0254)*50-$E14)</f>
        <v>Pass</v>
      </c>
      <c r="U14" s="473" t="str">
        <f>IF($F14&lt;=IF($B$2="mil",1,0.0254)*500,"Pass",IF($B$2="mil",1,0.0254)*500-$F14)</f>
        <v>Pass</v>
      </c>
      <c r="V14" s="473" t="str">
        <f>IF($H14&lt;=IF($B$2="mil",1,0.0254)*200,"Pass",IF($B$2="mil",1,0.0254)*200-$H14)</f>
        <v>Pass</v>
      </c>
      <c r="W14" s="473" t="str">
        <f>IF(AND($L14&gt;=IF($B$2="mil",1,0.0254)*500, $L14&lt;=IF($B$2="mil",1,0.0254)*3500),"Pass",IF($B$2="mil",1,0.0254)*3500-$L14)</f>
        <v>Pass</v>
      </c>
      <c r="X14" s="473" t="str">
        <f>IF(AND($M14&gt;=IF($B$2="mil",1,0.0254)*500, $M14&lt;=IF($B$2="mil",1,0.0254)*4000),"Pass",IF($B$2="mil",1,0.0254)*4000-$M14)</f>
        <v>Pass</v>
      </c>
      <c r="Y14" s="473" t="str">
        <f>IF((I14&lt;=IF($B$2="mil",1,0.0254)*1300),"Pass",IF($B$2="mil",1,0.0254)*1300-I14)</f>
        <v>Pass</v>
      </c>
      <c r="Z14" s="474" t="e">
        <f ca="1">CheckLength2(IF($B$2="mil",1,0.0254)*1500,I14,J14,0)</f>
        <v>#NAME?</v>
      </c>
      <c r="AS14" s="4" t="e">
        <f ca="1">IF(AND(T14="Pass",Y14="Pass",X14="Pass",W14="Pass",V14="Pass",U14="Pass",R14="Pass",S14="Pass",Z14="Pass"),"Pass","Fail")</f>
        <v>#NAME?</v>
      </c>
    </row>
    <row r="15" spans="1:46" s="2" customFormat="1" ht="12.75" customHeight="1" x14ac:dyDescent="0.2">
      <c r="A15" s="517"/>
      <c r="B15" s="33"/>
      <c r="C15" s="571"/>
      <c r="D15" s="33"/>
      <c r="E15" s="33"/>
      <c r="F15" s="34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521"/>
      <c r="W15" s="33"/>
      <c r="X15" s="522"/>
      <c r="Y15" s="33"/>
      <c r="Z15" s="33"/>
      <c r="AA15" s="18"/>
    </row>
    <row r="16" spans="1:46" s="133" customFormat="1" ht="54" customHeight="1" x14ac:dyDescent="0.2">
      <c r="A16" s="192" t="s">
        <v>494</v>
      </c>
      <c r="B16" s="123" t="s">
        <v>457</v>
      </c>
      <c r="C16" s="570" t="s">
        <v>70</v>
      </c>
      <c r="D16" s="130"/>
      <c r="E16" s="127" t="s">
        <v>567</v>
      </c>
      <c r="F16" s="127" t="s">
        <v>568</v>
      </c>
      <c r="G16" s="127" t="s">
        <v>569</v>
      </c>
      <c r="H16" s="129"/>
      <c r="I16" s="129" t="s">
        <v>571</v>
      </c>
      <c r="J16" s="123" t="s">
        <v>586</v>
      </c>
      <c r="K16" s="129"/>
      <c r="L16" s="123" t="s">
        <v>587</v>
      </c>
      <c r="M16" s="123" t="s">
        <v>588</v>
      </c>
      <c r="N16" s="130"/>
      <c r="O16" s="123" t="s">
        <v>589</v>
      </c>
      <c r="P16" s="123" t="s">
        <v>590</v>
      </c>
      <c r="Q16" s="123" t="s">
        <v>591</v>
      </c>
      <c r="R16" s="123" t="s">
        <v>592</v>
      </c>
      <c r="S16" s="123" t="s">
        <v>593</v>
      </c>
      <c r="T16" s="130" t="s">
        <v>594</v>
      </c>
      <c r="U16" s="129" t="s">
        <v>595</v>
      </c>
      <c r="V16" s="131" t="s">
        <v>596</v>
      </c>
      <c r="W16" s="130" t="s">
        <v>597</v>
      </c>
      <c r="X16" s="123" t="s">
        <v>598</v>
      </c>
      <c r="Y16" s="123" t="s">
        <v>599</v>
      </c>
      <c r="Z16" s="130" t="s">
        <v>600</v>
      </c>
      <c r="AA16" s="129" t="s">
        <v>601</v>
      </c>
      <c r="AB16" s="131" t="s">
        <v>602</v>
      </c>
      <c r="AC16" s="130" t="s">
        <v>603</v>
      </c>
      <c r="AD16" s="132" t="s">
        <v>579</v>
      </c>
      <c r="AE16" s="132" t="s">
        <v>580</v>
      </c>
      <c r="AF16" s="132" t="s">
        <v>604</v>
      </c>
      <c r="AG16" s="132" t="s">
        <v>605</v>
      </c>
      <c r="AH16" s="132" t="s">
        <v>606</v>
      </c>
      <c r="AI16" s="132" t="s">
        <v>607</v>
      </c>
      <c r="AJ16" s="132" t="s">
        <v>435</v>
      </c>
      <c r="AK16" s="132" t="s">
        <v>608</v>
      </c>
      <c r="AL16" s="132" t="s">
        <v>609</v>
      </c>
      <c r="AM16" s="132" t="s">
        <v>610</v>
      </c>
      <c r="AN16" s="132" t="s">
        <v>611</v>
      </c>
      <c r="AO16" s="129" t="s">
        <v>612</v>
      </c>
      <c r="AP16" s="129" t="s">
        <v>613</v>
      </c>
      <c r="AQ16" s="132" t="s">
        <v>614</v>
      </c>
      <c r="AR16" s="129" t="s">
        <v>615</v>
      </c>
      <c r="AS16" s="4"/>
    </row>
    <row r="17" spans="1:47" s="4" customFormat="1" ht="11.25" x14ac:dyDescent="0.2">
      <c r="A17" s="134" t="s">
        <v>258</v>
      </c>
      <c r="B17" s="134"/>
      <c r="C17" s="566"/>
      <c r="D17" s="135"/>
      <c r="E17" s="135"/>
      <c r="F17" s="194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95"/>
      <c r="S17" s="195"/>
      <c r="T17" s="195"/>
      <c r="U17" s="187"/>
      <c r="V17" s="195"/>
      <c r="W17" s="195"/>
      <c r="X17" s="195"/>
      <c r="Y17" s="195"/>
      <c r="Z17" s="195"/>
      <c r="AA17" s="195"/>
      <c r="AB17" s="195"/>
      <c r="AC17" s="195"/>
      <c r="AD17" s="187"/>
      <c r="AE17" s="195"/>
      <c r="AF17" s="195"/>
      <c r="AG17" s="195"/>
      <c r="AH17" s="195"/>
      <c r="AI17" s="195"/>
      <c r="AJ17" s="195"/>
      <c r="AK17" s="195"/>
      <c r="AL17" s="195"/>
      <c r="AM17" s="195"/>
      <c r="AN17" s="195"/>
      <c r="AO17" s="195"/>
      <c r="AP17" s="195"/>
      <c r="AQ17" s="195"/>
      <c r="AR17" s="310"/>
    </row>
    <row r="18" spans="1:47" s="4" customFormat="1" ht="11.25" x14ac:dyDescent="0.2">
      <c r="A18" s="235" t="s">
        <v>262</v>
      </c>
      <c r="B18" s="141"/>
      <c r="C18" s="568"/>
      <c r="D18" s="142"/>
      <c r="E18" s="143"/>
      <c r="F18" s="196"/>
      <c r="G18" s="143"/>
      <c r="H18" s="144"/>
      <c r="I18" s="144"/>
      <c r="J18" s="143"/>
      <c r="K18" s="144"/>
      <c r="L18" s="143"/>
      <c r="M18" s="143"/>
      <c r="N18" s="147"/>
      <c r="O18" s="143"/>
      <c r="P18" s="143"/>
      <c r="Q18" s="143"/>
      <c r="R18" s="143"/>
      <c r="S18" s="502" t="s">
        <v>272</v>
      </c>
      <c r="T18" s="487">
        <v>4388.2217322834649</v>
      </c>
      <c r="U18" s="484">
        <v>4390.8811023622047</v>
      </c>
      <c r="V18" s="487"/>
      <c r="W18" s="145"/>
      <c r="X18" s="488"/>
      <c r="Y18" s="502" t="s">
        <v>332</v>
      </c>
      <c r="Z18" s="487">
        <v>4385.0011023622046</v>
      </c>
      <c r="AA18" s="486">
        <v>4387.7617322834649</v>
      </c>
      <c r="AB18" s="488"/>
      <c r="AC18" s="488"/>
      <c r="AD18" s="488"/>
      <c r="AE18" s="488"/>
      <c r="AF18" s="483"/>
      <c r="AG18" s="483"/>
      <c r="AH18" s="483"/>
      <c r="AI18" s="483"/>
      <c r="AJ18" s="483"/>
      <c r="AK18" s="483"/>
      <c r="AL18" s="483"/>
      <c r="AM18" s="483"/>
      <c r="AN18" s="483"/>
      <c r="AO18" s="483"/>
      <c r="AP18" s="483"/>
      <c r="AQ18" s="483"/>
      <c r="AR18" s="484"/>
    </row>
    <row r="19" spans="1:47" s="4" customFormat="1" ht="11.25" x14ac:dyDescent="0.2">
      <c r="A19" s="180" t="s">
        <v>616</v>
      </c>
      <c r="B19" s="134"/>
      <c r="C19" s="566"/>
      <c r="D19" s="155"/>
      <c r="E19" s="156"/>
      <c r="F19" s="198"/>
      <c r="G19" s="156"/>
      <c r="H19" s="156"/>
      <c r="I19" s="157"/>
      <c r="J19" s="157"/>
      <c r="K19" s="156"/>
      <c r="L19" s="157"/>
      <c r="M19" s="157"/>
      <c r="N19" s="159"/>
      <c r="O19" s="157"/>
      <c r="P19" s="157"/>
      <c r="Q19" s="157"/>
      <c r="R19" s="157"/>
      <c r="S19" s="244"/>
      <c r="T19" s="155"/>
      <c r="U19" s="514"/>
      <c r="V19" s="476"/>
      <c r="W19" s="155"/>
      <c r="X19" s="155"/>
      <c r="Y19" s="155"/>
      <c r="Z19" s="155"/>
      <c r="AA19" s="155"/>
      <c r="AB19" s="155"/>
      <c r="AC19" s="155"/>
      <c r="AD19" s="385"/>
      <c r="AE19" s="155"/>
      <c r="AF19" s="155"/>
      <c r="AG19" s="155"/>
      <c r="AH19" s="155"/>
      <c r="AI19" s="155"/>
      <c r="AJ19" s="155"/>
      <c r="AK19" s="155"/>
      <c r="AL19" s="155"/>
      <c r="AM19" s="155"/>
      <c r="AN19" s="155"/>
      <c r="AO19" s="155"/>
      <c r="AP19" s="155"/>
      <c r="AQ19" s="155"/>
      <c r="AR19" s="244"/>
    </row>
    <row r="20" spans="1:47" s="4" customFormat="1" x14ac:dyDescent="0.2">
      <c r="A20" s="161" t="s">
        <v>73</v>
      </c>
      <c r="B20" s="434" t="s">
        <v>495</v>
      </c>
      <c r="C20" s="562">
        <v>466</v>
      </c>
      <c r="D20" s="164"/>
      <c r="E20" s="17">
        <v>22.63</v>
      </c>
      <c r="F20" s="165">
        <v>0</v>
      </c>
      <c r="G20">
        <v>2625.87</v>
      </c>
      <c r="H20" s="295"/>
      <c r="I20" s="294">
        <v>0</v>
      </c>
      <c r="J20" s="551">
        <v>39.71</v>
      </c>
      <c r="K20" s="296"/>
      <c r="L20" s="551">
        <v>963.82</v>
      </c>
      <c r="M20">
        <v>641.76</v>
      </c>
      <c r="N20" s="170"/>
      <c r="O20">
        <v>653.20000000000005</v>
      </c>
      <c r="P20" s="551">
        <v>71.86</v>
      </c>
      <c r="Q20">
        <v>142.6</v>
      </c>
      <c r="R20" s="490">
        <f>SUM($E20:$G20,$L20,$O20,$M20,$P20)</f>
        <v>4979.1400000000003</v>
      </c>
      <c r="S20" s="469">
        <f>$R20+IF($B$2="mil",1,0.0254)*$C20</f>
        <v>5445.14</v>
      </c>
      <c r="T20" s="469">
        <v>4390.8811023622047</v>
      </c>
      <c r="U20" s="492">
        <v>6388.2217322834649</v>
      </c>
      <c r="V20" s="491" t="str">
        <f>IF($S20&lt;$T20,$T20-$S20,"Pass")</f>
        <v>Pass</v>
      </c>
      <c r="W20" s="492" t="str">
        <f>IF($S20&gt;$U20,$S20-$U20,"Pass")</f>
        <v>Pass</v>
      </c>
      <c r="X20" s="490">
        <f>SUM($E20:$G20,$L20,$O20,$M20,$Q20)</f>
        <v>5049.880000000001</v>
      </c>
      <c r="Y20" s="469">
        <f>$X20+IF($B$2="mil",1,0.0254)*$C20</f>
        <v>5515.880000000001</v>
      </c>
      <c r="Z20" s="469">
        <v>4387.7617322834649</v>
      </c>
      <c r="AA20" s="469">
        <v>6385.0011023622046</v>
      </c>
      <c r="AB20" s="491" t="str">
        <f>IF($Y20&lt;$Z20,$Z20-$Y20,"Pass")</f>
        <v>Pass</v>
      </c>
      <c r="AC20" s="492" t="str">
        <f>IF($Y20&gt;$AA20,$Y20-$AA20,"Pass")</f>
        <v>Pass</v>
      </c>
      <c r="AD20" s="472" t="str">
        <f>IF($E20&lt;=IF($B$2="mil",1,0.0254)*50,"Pass",IF($B$2="mil",1,0.0254)*50-$E20)</f>
        <v>Pass</v>
      </c>
      <c r="AE20" s="473" t="str">
        <f>IF($F20&lt;=IF($B$2="mil",1,0.0254)*500,"Pass",IF($B$2="mil",1,0.0254)*500-$F20)</f>
        <v>Pass</v>
      </c>
      <c r="AF20" s="473" t="str">
        <f>IF($I20&lt;=IF($B$2="mil",1,0.0254)*1000,"Pass",IF($B$2="mil",1,0.0254)*1000-$I20)</f>
        <v>Pass</v>
      </c>
      <c r="AG20" s="473" t="e">
        <f ca="1">CheckLength2(IF($B$2="mil",1,0.0254)*1200,I20,J20,0)</f>
        <v>#NAME?</v>
      </c>
      <c r="AH20" s="473" t="str">
        <f>IF(L20&lt;=IF($B$2="mil",1,0.0254)*1500,"Pass",IF($B$2="mil",1,0.0254)*1500-L20)</f>
        <v>Pass</v>
      </c>
      <c r="AI20" s="473" t="str">
        <f>IF(M20&lt;=IF($B$2="mil",1,0.0254)*1000,"Pass",IF($B$2="mil",1,0.0254)*1000-M20)</f>
        <v>Pass</v>
      </c>
      <c r="AJ20" s="473" t="str">
        <f>IF(MAX(M20,P34)-MIN(M20,P34)&lt;=IF($B$2="mil",1,0.0254)*50,"Pass",MAX(M20,P34)-MIN(M20,P34)-IF($B$2="mil",1,0.0254)*50)</f>
        <v>Pass</v>
      </c>
      <c r="AK20" s="473" t="str">
        <f>IF($O20&lt;=IF($B$2="mil",1,0.0254)*1250,"Pass",IF($B$2="mil",1,0.0254)*1250-$O20)</f>
        <v>Pass</v>
      </c>
      <c r="AL20" s="473" t="str">
        <f>IF(MAX(O20,P41)-MIN(O20,P41)&lt;=IF($B$2="mil",1,0.0254)*50,"Pass",MAX(O20,P41)-MIN(O20,P41)-IF($B$2="mil",1,0.0254)*50)</f>
        <v>Pass</v>
      </c>
      <c r="AM20" s="473" t="e">
        <f ca="1">CheckLength2(IF($B$2="mil",1,0.0254)*1450,O20,P20,0)</f>
        <v>#NAME?</v>
      </c>
      <c r="AN20" s="473" t="e">
        <f ca="1">CheckLength2(IF($B$2="mil",1,0.0254)*1450,O20,Q20,0)</f>
        <v>#NAME?</v>
      </c>
      <c r="AO20" s="473" t="str">
        <f>IF(AND($R20&gt;=IF($B$2="mil",1,0.0254)*500, $R20&lt;=IF($B$2="mil",1,0.0254)*6500),"Pass",IF($B$2="mil",1,0.0254)*6500-$R20)</f>
        <v>Pass</v>
      </c>
      <c r="AP20" s="473" t="str">
        <f>IF(AND($S20&gt;=IF($B$2="mil",1,0.0254)*500, $S20&lt;=IF($B$2="mil",1,0.0254)*7000),"Pass",IF($B$2="mil",1,0.0254)*7000-$S20)</f>
        <v>Pass</v>
      </c>
      <c r="AQ20" s="473" t="str">
        <f>IF(AND($X20&gt;=IF($B$2="mil",1,0.0254)*500, $X20&lt;=IF($B$2="mil",1,0.0254)*6500),"Pass",IF($B$2="mil",1,0.0254)*6500-$X20)</f>
        <v>Pass</v>
      </c>
      <c r="AR20" s="474" t="str">
        <f>IF(AND($Y20&gt;=IF($B$2="mil",1,0.0254)*500, $Y20&lt;=IF($B$2="mil",1,0.0254)*7000),"Pass",IF($B$2="mil",1,0.0254)*7000-$Y20)</f>
        <v>Pass</v>
      </c>
      <c r="AS20" s="4" t="e">
        <f ca="1">IF(AND(V20="Pass",W20="Pass",AD20="Pass",AE20="Pass",AF20="Pass",AG20="Pass",AH20="Pass",AI20="Pass",AJ20="Pass",AK20="Pass",AL20="Pass",AM20="Pass",AO20="Pass",AP20="Pass",AQ20="Pass",AR20="Pass", AB20="Pass", AD20="Pass", AN20="Pass"),"Pass","Fail")</f>
        <v>#NAME?</v>
      </c>
      <c r="AT20" s="4" t="e">
        <f ca="1">IF(AND(AS20="Pass", AS21="Pass", AS22="Pass"),"Pass","Fail")</f>
        <v>#NAME?</v>
      </c>
    </row>
    <row r="21" spans="1:47" s="4" customFormat="1" x14ac:dyDescent="0.2">
      <c r="A21" s="214" t="s">
        <v>75</v>
      </c>
      <c r="B21" s="573" t="s">
        <v>365</v>
      </c>
      <c r="C21" s="562">
        <v>380</v>
      </c>
      <c r="D21" s="164"/>
      <c r="E21" s="17">
        <v>22.63</v>
      </c>
      <c r="F21" s="165">
        <v>0</v>
      </c>
      <c r="G21">
        <v>2609.2600000000002</v>
      </c>
      <c r="H21" s="295"/>
      <c r="I21" s="294">
        <v>0</v>
      </c>
      <c r="J21">
        <v>88.33</v>
      </c>
      <c r="K21" s="296"/>
      <c r="L21" s="551">
        <v>1077.47</v>
      </c>
      <c r="M21">
        <v>536.08000000000004</v>
      </c>
      <c r="N21" s="179"/>
      <c r="O21">
        <v>689.76</v>
      </c>
      <c r="P21" s="551">
        <v>116.96</v>
      </c>
      <c r="Q21">
        <v>180.68</v>
      </c>
      <c r="R21" s="490">
        <f>SUM($E21:$G21,$L21,$O21,$M21,$P21)</f>
        <v>5052.1600000000008</v>
      </c>
      <c r="S21" s="469">
        <f>$R21+IF($B$2="mil",1,0.0254)*$C21</f>
        <v>5432.1600000000008</v>
      </c>
      <c r="T21" s="469">
        <v>4390.8811023622047</v>
      </c>
      <c r="U21" s="492">
        <v>6388.2217322834649</v>
      </c>
      <c r="V21" s="491" t="str">
        <f>IF($S21&lt;$T21,$T21-$S21,"Pass")</f>
        <v>Pass</v>
      </c>
      <c r="W21" s="492" t="str">
        <f>IF($S21&gt;$U21,$S21-$U21,"Pass")</f>
        <v>Pass</v>
      </c>
      <c r="X21" s="490">
        <f>SUM($E21:$G21,$L21,$O21,$M21,$Q21)</f>
        <v>5115.880000000001</v>
      </c>
      <c r="Y21" s="469">
        <f>$X21+IF($B$2="mil",1,0.0254)*$C21</f>
        <v>5495.880000000001</v>
      </c>
      <c r="Z21" s="469">
        <v>4387.7617322834649</v>
      </c>
      <c r="AA21" s="469">
        <v>6385.0011023622046</v>
      </c>
      <c r="AB21" s="491" t="str">
        <f>IF($Y21&lt;$Z21,$Z21-$Y21,"Pass")</f>
        <v>Pass</v>
      </c>
      <c r="AC21" s="492" t="str">
        <f>IF($Y21&gt;$AA21,$Y21-$AA21,"Pass")</f>
        <v>Pass</v>
      </c>
      <c r="AD21" s="472" t="str">
        <f>IF($E21&lt;=IF($B$2="mil",1,0.0254)*50,"Pass",IF($B$2="mil",1,0.0254)*50-$E21)</f>
        <v>Pass</v>
      </c>
      <c r="AE21" s="473" t="str">
        <f>IF($F21&lt;=IF($B$2="mil",1,0.0254)*500,"Pass",IF($B$2="mil",1,0.0254)*500-$F21)</f>
        <v>Pass</v>
      </c>
      <c r="AF21" s="473" t="str">
        <f>IF($I21&lt;=IF($B$2="mil",1,0.0254)*1000,"Pass",IF($B$2="mil",1,0.0254)*1000-$I21)</f>
        <v>Pass</v>
      </c>
      <c r="AG21" s="473" t="e">
        <f ca="1">CheckLength2(IF($B$2="mil",1,0.0254)*1200,I21,J21,0)</f>
        <v>#NAME?</v>
      </c>
      <c r="AH21" s="473" t="str">
        <f>IF(L21&lt;=IF($B$2="mil",1,0.0254)*1500,"Pass",IF($B$2="mil",1,0.0254)*1500-L21)</f>
        <v>Pass</v>
      </c>
      <c r="AI21" s="473" t="str">
        <f>IF(M21&lt;=IF($B$2="mil",1,0.0254)*1000,"Pass",IF($B$2="mil",1,0.0254)*1000-M21)</f>
        <v>Pass</v>
      </c>
      <c r="AJ21" s="473" t="str">
        <f>IF(MAX(M21,P35)-MIN(M21,P35)&lt;=IF($B$2="mil",1,0.0254)*50,"Pass",MAX(M21,P35)-MIN(M21,P35)-IF($B$2="mil",1,0.0254)*50)</f>
        <v>Pass</v>
      </c>
      <c r="AK21" s="473" t="str">
        <f>IF($O21&lt;=IF($B$2="mil",1,0.0254)*1250,"Pass",IF($B$2="mil",1,0.0254)*1250-$O21)</f>
        <v>Pass</v>
      </c>
      <c r="AL21" s="473" t="str">
        <f>IF(MAX(O21,P42)-MIN(O21,P42)&lt;=IF($B$2="mil",1,0.0254)*50,"Pass",MAX(O21,P42)-MIN(O21,P42)-IF($B$2="mil",1,0.0254)*50)</f>
        <v>Pass</v>
      </c>
      <c r="AM21" s="473" t="e">
        <f ca="1">CheckLength2(IF($B$2="mil",1,0.0254)*1450,O21,P21,0)</f>
        <v>#NAME?</v>
      </c>
      <c r="AN21" s="473" t="e">
        <f ca="1">CheckLength2(IF($B$2="mil",1,0.0254)*1450,O21,Q21,0)</f>
        <v>#NAME?</v>
      </c>
      <c r="AO21" s="473" t="str">
        <f>IF(AND($R21&gt;=IF($B$2="mil",1,0.0254)*500, $R21&lt;=IF($B$2="mil",1,0.0254)*6500),"Pass",IF($B$2="mil",1,0.0254)*6500-$R21)</f>
        <v>Pass</v>
      </c>
      <c r="AP21" s="473" t="str">
        <f>IF(AND($S21&gt;=IF($B$2="mil",1,0.0254)*500, $S21&lt;=IF($B$2="mil",1,0.0254)*7000),"Pass",IF($B$2="mil",1,0.0254)*7000-$S21)</f>
        <v>Pass</v>
      </c>
      <c r="AQ21" s="473" t="str">
        <f>IF(AND($X21&gt;=IF($B$2="mil",1,0.0254)*500, $X21&lt;=IF($B$2="mil",1,0.0254)*6500),"Pass",IF($B$2="mil",1,0.0254)*6500-$X21)</f>
        <v>Pass</v>
      </c>
      <c r="AR21" s="474" t="str">
        <f>IF(AND($Y21&gt;=IF($B$2="mil",1,0.0254)*500, $Y21&lt;=IF($B$2="mil",1,0.0254)*7000),"Pass",IF($B$2="mil",1,0.0254)*7000-$Y21)</f>
        <v>Pass</v>
      </c>
      <c r="AS21" s="4" t="e">
        <f ca="1">IF(AND(V21="Pass",W21="Pass",AD21="Pass",AE21="Pass",AF21="Pass",AG21="Pass",AH21="Pass",AI21="Pass",AJ21="Pass",AK21="Pass",AL21="Pass",AM21="Pass",AO21="Pass",AP21="Pass",AQ21="Pass",AR21="Pass", AB21="Pass", AD21="Pass", AN21="Pass"),"Pass","Fail")</f>
        <v>#NAME?</v>
      </c>
    </row>
    <row r="22" spans="1:47" s="4" customFormat="1" x14ac:dyDescent="0.2">
      <c r="A22" s="214" t="s">
        <v>77</v>
      </c>
      <c r="B22" s="573" t="s">
        <v>349</v>
      </c>
      <c r="C22" s="562">
        <v>426</v>
      </c>
      <c r="D22" s="164"/>
      <c r="E22" s="17">
        <v>22.63</v>
      </c>
      <c r="F22" s="165">
        <v>0</v>
      </c>
      <c r="G22">
        <v>2623.9</v>
      </c>
      <c r="H22" s="295"/>
      <c r="I22" s="294">
        <v>0</v>
      </c>
      <c r="J22">
        <v>95.78</v>
      </c>
      <c r="K22" s="296"/>
      <c r="L22" s="551">
        <v>1016.52</v>
      </c>
      <c r="M22">
        <v>510.62</v>
      </c>
      <c r="N22" s="212"/>
      <c r="O22">
        <v>665.74</v>
      </c>
      <c r="P22" s="551">
        <v>121.68</v>
      </c>
      <c r="Q22">
        <v>178.07</v>
      </c>
      <c r="R22" s="490">
        <f>SUM($E22:$G22,$L22,$O22,$M22,$P22)</f>
        <v>4961.09</v>
      </c>
      <c r="S22" s="469">
        <f>$R22+IF($B$2="mil",1,0.0254)*$C22</f>
        <v>5387.09</v>
      </c>
      <c r="T22" s="469">
        <v>4390.8811023622047</v>
      </c>
      <c r="U22" s="492">
        <v>6388.2217322834649</v>
      </c>
      <c r="V22" s="491" t="str">
        <f>IF($S22&lt;$T22,$T22-$S22,"Pass")</f>
        <v>Pass</v>
      </c>
      <c r="W22" s="492" t="str">
        <f>IF($S22&gt;$U22,$S22-$U22,"Pass")</f>
        <v>Pass</v>
      </c>
      <c r="X22" s="490">
        <f>SUM($E22:$G22,$L22,$O22,$M22,$Q22)</f>
        <v>5017.4799999999996</v>
      </c>
      <c r="Y22" s="469">
        <f>$X22+IF($B$2="mil",1,0.0254)*$C22</f>
        <v>5443.48</v>
      </c>
      <c r="Z22" s="469">
        <v>4387.7617322834649</v>
      </c>
      <c r="AA22" s="469">
        <v>6385.0011023622046</v>
      </c>
      <c r="AB22" s="491" t="str">
        <f>IF($Y22&lt;$Z22,$Z22-$Y22,"Pass")</f>
        <v>Pass</v>
      </c>
      <c r="AC22" s="492" t="str">
        <f>IF($Y22&gt;$AA22,$Y22-$AA22,"Pass")</f>
        <v>Pass</v>
      </c>
      <c r="AD22" s="472" t="str">
        <f>IF($E22&lt;=IF($B$2="mil",1,0.0254)*50,"Pass",IF($B$2="mil",1,0.0254)*50-$E22)</f>
        <v>Pass</v>
      </c>
      <c r="AE22" s="473" t="str">
        <f>IF($F22&lt;=IF($B$2="mil",1,0.0254)*500,"Pass",IF($B$2="mil",1,0.0254)*500-$F22)</f>
        <v>Pass</v>
      </c>
      <c r="AF22" s="473" t="str">
        <f>IF($I22&lt;=IF($B$2="mil",1,0.0254)*1000,"Pass",IF($B$2="mil",1,0.0254)*1000-$I22)</f>
        <v>Pass</v>
      </c>
      <c r="AG22" s="473" t="e">
        <f ca="1">CheckLength2(IF($B$2="mil",1,0.0254)*1200,I22,J22,0)</f>
        <v>#NAME?</v>
      </c>
      <c r="AH22" s="473" t="str">
        <f>IF(L22&lt;=IF($B$2="mil",1,0.0254)*1500,"Pass",IF($B$2="mil",1,0.0254)*1500-L22)</f>
        <v>Pass</v>
      </c>
      <c r="AI22" s="473" t="str">
        <f>IF(M22&lt;=IF($B$2="mil",1,0.0254)*1000,"Pass",IF($B$2="mil",1,0.0254)*1000-M22)</f>
        <v>Pass</v>
      </c>
      <c r="AJ22" s="473" t="str">
        <f>IF(MAX(M22,P36)-MIN(M22,P36)&lt;=IF($B$2="mil",1,0.0254)*50,"Pass",MAX(M22,P36)-MIN(M22,P36)-IF($B$2="mil",1,0.0254)*50)</f>
        <v>Pass</v>
      </c>
      <c r="AK22" s="473" t="str">
        <f>IF($O22&lt;=IF($B$2="mil",1,0.0254)*1250,"Pass",IF($B$2="mil",1,0.0254)*1250-$O22)</f>
        <v>Pass</v>
      </c>
      <c r="AL22" s="473" t="str">
        <f>IF(MAX(O22,P43)-MIN(O22,P43)&lt;=IF($B$2="mil",1,0.0254)*50,"Pass",MAX(O22,P43)-MIN(O22,P43)-IF($B$2="mil",1,0.0254)*50)</f>
        <v>Pass</v>
      </c>
      <c r="AM22" s="473" t="e">
        <f ca="1">CheckLength2(IF($B$2="mil",1,0.0254)*1450,O22,P22,0)</f>
        <v>#NAME?</v>
      </c>
      <c r="AN22" s="473" t="e">
        <f ca="1">CheckLength2(IF($B$2="mil",1,0.0254)*1450,O22,Q22,0)</f>
        <v>#NAME?</v>
      </c>
      <c r="AO22" s="473" t="str">
        <f>IF(AND($R22&gt;=IF($B$2="mil",1,0.0254)*500, $R22&lt;=IF($B$2="mil",1,0.0254)*6500),"Pass",IF($B$2="mil",1,0.0254)*6500-$R22)</f>
        <v>Pass</v>
      </c>
      <c r="AP22" s="473" t="str">
        <f>IF(AND($S22&gt;=IF($B$2="mil",1,0.0254)*500, $S22&lt;=IF($B$2="mil",1,0.0254)*7000),"Pass",IF($B$2="mil",1,0.0254)*7000-$S22)</f>
        <v>Pass</v>
      </c>
      <c r="AQ22" s="473" t="str">
        <f>IF(AND($X22&gt;=IF($B$2="mil",1,0.0254)*500, $X22&lt;=IF($B$2="mil",1,0.0254)*6500),"Pass",IF($B$2="mil",1,0.0254)*6500-$X22)</f>
        <v>Pass</v>
      </c>
      <c r="AR22" s="474" t="str">
        <f>IF(AND($Y22&gt;=IF($B$2="mil",1,0.0254)*500, $Y22&lt;=IF($B$2="mil",1,0.0254)*7000),"Pass",IF($B$2="mil",1,0.0254)*7000-$Y22)</f>
        <v>Pass</v>
      </c>
      <c r="AS22" s="4" t="e">
        <f ca="1">IF(AND(V22="Pass",W22="Pass",AD22="Pass",AE22="Pass",AF22="Pass",AG22="Pass",AH22="Pass",AI22="Pass",AJ22="Pass",AK22="Pass",AL22="Pass",AM22="Pass",AO22="Pass",AP22="Pass",AQ22="Pass",AR22="Pass", AB22="Pass", AD22="Pass", AN22="Pass"),"Pass","Fail")</f>
        <v>#NAME?</v>
      </c>
    </row>
    <row r="23" spans="1:47" ht="48" customHeight="1" x14ac:dyDescent="0.2">
      <c r="N23" s="2"/>
      <c r="O23" s="2"/>
      <c r="P23" s="289" t="s">
        <v>494</v>
      </c>
      <c r="Q23" s="290" t="s">
        <v>437</v>
      </c>
      <c r="R23" s="290" t="s">
        <v>438</v>
      </c>
      <c r="S23" s="495" t="str">
        <f>"Total MB Length to U2 (L0+L1+L2+L5+L6-1+L8-3) ["&amp;$B$2&amp;"]"</f>
        <v>Total MB Length to U2 (L0+L1+L2+L5+L6-1+L8-3) [mil]</v>
      </c>
      <c r="T23" s="495" t="str">
        <f>"Total Pad to Pin U2 (P1+L0+L1+L2+L5+L6-1+L8-3) ["&amp;$B$2&amp;"]"</f>
        <v>Total Pad to Pin U2 (P1+L0+L1+L2+L5+L6-1+L8-3) [mil]</v>
      </c>
      <c r="U23" s="496" t="str">
        <f>"Target Min Length to U2
["&amp;$B$2&amp;"]"</f>
        <v>Target Min Length to U2
[mil]</v>
      </c>
      <c r="V23" s="497" t="str">
        <f>"Target Max Length to U2 
["&amp;$B$2&amp;"]"</f>
        <v>Target Max Length to U2 
[mil]</v>
      </c>
      <c r="W23" s="498" t="str">
        <f>"Routed Too Short to U2 [" &amp;$B$2&amp;"]"</f>
        <v>Routed Too Short to U2 [mil]</v>
      </c>
      <c r="X23" s="496" t="str">
        <f>"Routed Too Long to U2 [" &amp;$B$2&amp;"]"</f>
        <v>Routed Too Long to U2 [mil]</v>
      </c>
      <c r="Y23" s="495" t="str">
        <f>"Total MB Length to U6 (L0+L1+L2+L5+L6-1+L8-4) ["&amp;$B$2&amp;"]"</f>
        <v>Total MB Length to U6 (L0+L1+L2+L5+L6-1+L8-4) [mil]</v>
      </c>
      <c r="Z23" s="495" t="str">
        <f>"Total Pad to Pin U6 (P1+L0+L1+L2+L5+L6-1+L8-4) ["&amp;$B$2&amp;"]"</f>
        <v>Total Pad to Pin U6 (P1+L0+L1+L2+L5+L6-1+L8-4) [mil]</v>
      </c>
      <c r="AA23" s="496" t="str">
        <f>"Target Min Length to U6
["&amp;$B$2&amp;"]"</f>
        <v>Target Min Length to U6
[mil]</v>
      </c>
      <c r="AB23" s="497" t="str">
        <f>"Target Max Length to U6 
["&amp;$B$2&amp;"]"</f>
        <v>Target Max Length to U6 
[mil]</v>
      </c>
      <c r="AC23" s="498" t="str">
        <f>"Routed Too Short to U6 [" &amp;$B$2&amp;"]"</f>
        <v>Routed Too Short to U6 [mil]</v>
      </c>
      <c r="AD23" s="496" t="str">
        <f>"Routed Too Long to U6 [" &amp;$B$2&amp;"]"</f>
        <v>Routed Too Long to U6 [mil]</v>
      </c>
      <c r="AE23" s="2"/>
      <c r="AF23" s="2"/>
      <c r="AG23" s="2"/>
      <c r="AH23" s="2"/>
      <c r="AI23" s="2"/>
      <c r="AJ23" s="2"/>
      <c r="AK23" s="2"/>
      <c r="AL23" s="499" t="s">
        <v>494</v>
      </c>
      <c r="AM23" s="500" t="str">
        <f>"L8-3 Length Test (&lt;=" &amp; IF($B$2="mil",1,0.0254)*200&amp;$B$2&amp;") or (L6-1+L8-3&lt;= "&amp;IF($B$2="mil",1,0.0254)*1200&amp;$B$2&amp;")"</f>
        <v>L8-3 Length Test (&lt;=200mil) or (L6-1+L8-3&lt;= 1200mil)</v>
      </c>
      <c r="AN23" s="500" t="str">
        <f>"L8-4 Length Test (&lt;=" &amp; IF($B$2="mil",1,0.0254)*200&amp;$B$2&amp;") or (L6-1+L8-4&lt;= "&amp;IF($B$2="mil",1,0.0254)*1200&amp;$B$2&amp;")"</f>
        <v>L8-4 Length Test (&lt;=200mil) or (L6-1+L8-4&lt;= 1200mil)</v>
      </c>
      <c r="AO23" s="497" t="str">
        <f>"Total Length to U2 (L0+L1+L2+L5+L6-1+L8-3)Test
 ("&amp;IF($B$2="mil",1,0.0254)*500&amp;"-"&amp;IF($B$2="mil",1,0.0254)*6500&amp;IF($B$2="mil","mil","mm")&amp;")"</f>
        <v>Total Length to U2 (L0+L1+L2+L5+L6-1+L8-3)Test
 (500-6500mil)</v>
      </c>
      <c r="AP23" s="497" t="str">
        <f>"Total Length to U2 (P1+L0+L1+L2+L5+L6-1+L8-3) Test
 (&lt;="&amp;IF($B$2="mil",1,25.4)*7000&amp;IF($B$2="mil","mil","mm")&amp;")"</f>
        <v>Total Length to U2 (P1+L0+L1+L2+L5+L6-1+L8-3) Test
 (&lt;=7000mil)</v>
      </c>
      <c r="AQ23" s="500" t="str">
        <f>"Total Length to U6 (L0+L1+L2+L5+L6-1+L8-4)Test
 ("&amp;IF($B$2="mil",1,0.0254)*500&amp;"-"&amp;IF($B$2="mil",1,0.0254)*6500&amp;IF($B$2="mil","mil","mm")&amp;")"</f>
        <v>Total Length to U6 (L0+L1+L2+L5+L6-1+L8-4)Test
 (500-6500mil)</v>
      </c>
      <c r="AR23" s="497" t="str">
        <f>"Total Length to U6 (P1+L0+L1+L2+L5+L6-1+L8-4) Test
 (&lt;="&amp;IF($B$2="mil",1,25.4)*7000&amp;IF($B$2="mil","mil","mm")&amp;")"</f>
        <v>Total Length to U6 (P1+L0+L1+L2+L5+L6-1+L8-4) Test
 (&lt;=7000mil)</v>
      </c>
      <c r="AT23" s="2"/>
      <c r="AU23" s="2"/>
    </row>
    <row r="24" spans="1:47" x14ac:dyDescent="0.2">
      <c r="N24" s="2"/>
      <c r="O24" s="2"/>
      <c r="P24" s="134" t="s">
        <v>258</v>
      </c>
      <c r="Q24" s="135"/>
      <c r="R24" s="135"/>
      <c r="S24" s="135"/>
      <c r="T24" s="135"/>
      <c r="U24" s="135"/>
      <c r="V24" s="385"/>
      <c r="W24" s="135"/>
      <c r="X24" s="135"/>
      <c r="Y24" s="135"/>
      <c r="Z24" s="135"/>
      <c r="AA24" s="135"/>
      <c r="AB24" s="135"/>
      <c r="AC24" s="135"/>
      <c r="AD24" s="135"/>
      <c r="AE24" s="2"/>
      <c r="AF24" s="2"/>
      <c r="AG24" s="2"/>
      <c r="AH24" s="2"/>
      <c r="AI24" s="2"/>
      <c r="AJ24" s="2"/>
      <c r="AK24" s="2"/>
      <c r="AL24" s="134" t="s">
        <v>258</v>
      </c>
      <c r="AM24" s="135"/>
      <c r="AN24" s="135"/>
      <c r="AO24" s="135"/>
      <c r="AP24" s="135"/>
      <c r="AQ24" s="135"/>
      <c r="AR24" s="137"/>
      <c r="AT24" s="2"/>
      <c r="AU24" s="2"/>
    </row>
    <row r="25" spans="1:47" x14ac:dyDescent="0.2">
      <c r="N25" s="2"/>
      <c r="O25" s="2"/>
      <c r="P25" s="235" t="s">
        <v>262</v>
      </c>
      <c r="Q25" s="143"/>
      <c r="R25" s="143"/>
      <c r="S25" s="143"/>
      <c r="T25" s="502" t="s">
        <v>275</v>
      </c>
      <c r="U25" s="487">
        <v>4341.8317322834646</v>
      </c>
      <c r="V25" s="484">
        <v>4343.7611023622048</v>
      </c>
      <c r="W25" s="487"/>
      <c r="X25" s="145"/>
      <c r="Y25" s="143"/>
      <c r="Z25" s="502" t="s">
        <v>333</v>
      </c>
      <c r="AA25" s="487">
        <v>4348.3017322834648</v>
      </c>
      <c r="AB25" s="486">
        <v>4349.6811023622049</v>
      </c>
      <c r="AC25" s="487"/>
      <c r="AD25" s="145"/>
      <c r="AE25" s="2"/>
      <c r="AF25" s="2"/>
      <c r="AG25" s="2"/>
      <c r="AH25" s="2"/>
      <c r="AI25" s="2"/>
      <c r="AJ25" s="2"/>
      <c r="AK25" s="2"/>
      <c r="AL25" s="140" t="s">
        <v>262</v>
      </c>
      <c r="AM25" s="483"/>
      <c r="AN25" s="483"/>
      <c r="AO25" s="483"/>
      <c r="AP25" s="483"/>
      <c r="AQ25" s="483"/>
      <c r="AR25" s="484"/>
      <c r="AT25" s="2"/>
      <c r="AU25" s="2"/>
    </row>
    <row r="26" spans="1:47" x14ac:dyDescent="0.2">
      <c r="N26" s="2"/>
      <c r="O26" s="2"/>
      <c r="P26" s="180" t="s">
        <v>616</v>
      </c>
      <c r="Q26" s="157"/>
      <c r="R26" s="157"/>
      <c r="S26" s="157"/>
      <c r="T26" s="157"/>
      <c r="U26" s="155"/>
      <c r="V26" s="514"/>
      <c r="W26" s="476"/>
      <c r="X26" s="155"/>
      <c r="Y26" s="157"/>
      <c r="Z26" s="157"/>
      <c r="AA26" s="155"/>
      <c r="AB26" s="476"/>
      <c r="AC26" s="476"/>
      <c r="AD26" s="155"/>
      <c r="AE26" s="2"/>
      <c r="AF26" s="2"/>
      <c r="AG26" s="2"/>
      <c r="AH26" s="2"/>
      <c r="AI26" s="2"/>
      <c r="AJ26" s="2"/>
      <c r="AK26" s="2"/>
      <c r="AL26" s="134" t="s">
        <v>616</v>
      </c>
      <c r="AM26" s="155"/>
      <c r="AN26" s="155"/>
      <c r="AO26" s="155"/>
      <c r="AP26" s="155"/>
      <c r="AQ26" s="155"/>
      <c r="AR26" s="244"/>
      <c r="AT26" s="2"/>
      <c r="AU26" s="2"/>
    </row>
    <row r="27" spans="1:47" x14ac:dyDescent="0.2">
      <c r="N27" s="2"/>
      <c r="O27" s="2"/>
      <c r="P27" s="161" t="s">
        <v>73</v>
      </c>
      <c r="Q27">
        <v>71.86</v>
      </c>
      <c r="R27">
        <v>142.6</v>
      </c>
      <c r="S27" s="490">
        <f>SUM($E20:$G20,$L20,$M20,$Q27)</f>
        <v>4325.9399999999996</v>
      </c>
      <c r="T27" s="479">
        <f>$S27+IF($B$2="mil",1,0.0254)*$C20</f>
        <v>4791.9399999999996</v>
      </c>
      <c r="U27" s="469">
        <v>4343.7611023622048</v>
      </c>
      <c r="V27" s="492">
        <v>6341.8317322834646</v>
      </c>
      <c r="W27" s="491" t="str">
        <f>IF($T27&lt;$U27,$U27-$T27,"Pass")</f>
        <v>Pass</v>
      </c>
      <c r="X27" s="492" t="str">
        <f>IF($T27&gt;$V27,$T27-$V27,"Pass")</f>
        <v>Pass</v>
      </c>
      <c r="Y27" s="490">
        <f>SUM($E20:$G20,$L20,$M20,$R27)</f>
        <v>4396.68</v>
      </c>
      <c r="Z27" s="479">
        <f>$Y27+IF($B$2="mil",1,0.0254)*$C20</f>
        <v>4862.68</v>
      </c>
      <c r="AA27" s="469">
        <v>4349.6811023622049</v>
      </c>
      <c r="AB27" s="469">
        <v>6348.3017322834648</v>
      </c>
      <c r="AC27" s="491" t="str">
        <f>IF($Z27&lt;$AA27,$AA27-$Z27,"Pass")</f>
        <v>Pass</v>
      </c>
      <c r="AD27" s="492" t="str">
        <f>IF($Z27&gt;$AB27,$Z27-$AB27,"Pass")</f>
        <v>Pass</v>
      </c>
      <c r="AE27" s="2"/>
      <c r="AF27" s="2"/>
      <c r="AG27" s="2"/>
      <c r="AH27" s="2"/>
      <c r="AI27" s="2"/>
      <c r="AJ27" s="2"/>
      <c r="AK27" s="2"/>
      <c r="AL27" s="161" t="s">
        <v>73</v>
      </c>
      <c r="AM27" s="473" t="e">
        <f ca="1">CheckLength2(IF($B$2="mil",1,0.0254)*1200,M20,Q27,0)</f>
        <v>#NAME?</v>
      </c>
      <c r="AN27" s="473" t="e">
        <f ca="1">CheckLength2(IF($B$2="mil",1,0.0254)*1200,M20,R27,0)</f>
        <v>#NAME?</v>
      </c>
      <c r="AO27" s="473" t="str">
        <f>IF(AND(S27&gt;=IF($B$2="mil",1,0.0254)*500, $S27&lt;=IF($B$2="mil",1,0.0254)*6500),"Pass",IF($B$2="mil",1,0.0254)*6500-$S27)</f>
        <v>Pass</v>
      </c>
      <c r="AP27" s="504" t="str">
        <f>IF(AND($T27&gt;=IF($B$2="mil",1,0.0254)*500, $T27&lt;=IF($B$2="mil",1,0.0254)*7000),"Pass",IF($B$2="mil",1,0.0254)*7000-$T27)</f>
        <v>Pass</v>
      </c>
      <c r="AQ27" s="473" t="str">
        <f>IF(AND($Y27&gt;=IF($B$2="mil",1,0.0254)*500, $Y27&lt;=IF($B$2="mil",1,0.0254)*6500),"Pass",IF($B$2="mil",1,0.0254)*6500-$Y27)</f>
        <v>Pass</v>
      </c>
      <c r="AR27" s="474" t="str">
        <f>IF(AND($Z27&gt;=IF($B$2="mil",1,0.0254)*500, $Z27&lt;=IF($B$2="mil",1,0.0254)*7000),"Pass",IF($B$2="mil",1,0.0254)*7000-$Z27)</f>
        <v>Pass</v>
      </c>
      <c r="AS27" s="4" t="e">
        <f ca="1">IF(AND(W27="Pass",X27="Pass",AM27="Pass",AN27="Pass", AO27="Pass",AP27="Pass",AQ27="Pass",AR27="Pass", AC27="Pass", AD27="Pass"),"Pass","Fail")</f>
        <v>#NAME?</v>
      </c>
      <c r="AT27" t="e">
        <f ca="1">IF(AND(AS27="Pass", AS28="Pass", AS29="Pass"),"Pass","Fail")</f>
        <v>#NAME?</v>
      </c>
      <c r="AU27" s="4"/>
    </row>
    <row r="28" spans="1:47" x14ac:dyDescent="0.2">
      <c r="N28" s="2"/>
      <c r="O28" s="2"/>
      <c r="P28" s="214" t="s">
        <v>75</v>
      </c>
      <c r="Q28">
        <v>116.96</v>
      </c>
      <c r="R28">
        <v>180.68</v>
      </c>
      <c r="S28" s="490">
        <f>SUM($E21:$G21,$L21,$M21,$Q28)</f>
        <v>4362.4000000000005</v>
      </c>
      <c r="T28" s="479">
        <f>$S28+IF($B$2="mil",1,0.0254)*$C21</f>
        <v>4742.4000000000005</v>
      </c>
      <c r="U28" s="469">
        <v>4343.7611023622048</v>
      </c>
      <c r="V28" s="492">
        <v>6341.8317322834646</v>
      </c>
      <c r="W28" s="491" t="str">
        <f>IF($T28&lt;$U28,$U28-$T28,"Pass")</f>
        <v>Pass</v>
      </c>
      <c r="X28" s="492" t="str">
        <f>IF($T28&gt;$V28,$T28-$V28,"Pass")</f>
        <v>Pass</v>
      </c>
      <c r="Y28" s="490">
        <f>SUM($E21:$G21,$L21,$M21,$R28)</f>
        <v>4426.1200000000008</v>
      </c>
      <c r="Z28" s="479">
        <f>$Y28+IF($B$2="mil",1,0.0254)*$C21</f>
        <v>4806.1200000000008</v>
      </c>
      <c r="AA28" s="469">
        <v>4349.6811023622049</v>
      </c>
      <c r="AB28" s="469">
        <v>6348.3017322834648</v>
      </c>
      <c r="AC28" s="491" t="str">
        <f>IF($Z28&lt;$AA28,$AA28-$Z28,"Pass")</f>
        <v>Pass</v>
      </c>
      <c r="AD28" s="492" t="str">
        <f>IF($Z28&gt;$AB28,$Z28-$AB28,"Pass")</f>
        <v>Pass</v>
      </c>
      <c r="AE28" s="2"/>
      <c r="AF28" s="2"/>
      <c r="AG28" s="2"/>
      <c r="AH28" s="2"/>
      <c r="AI28" s="2"/>
      <c r="AJ28" s="2"/>
      <c r="AK28" s="2"/>
      <c r="AL28" s="214" t="s">
        <v>75</v>
      </c>
      <c r="AM28" s="473" t="e">
        <f ca="1">CheckLength2(IF($B$2="mil",1,0.0254)*1200,M21,Q28,0)</f>
        <v>#NAME?</v>
      </c>
      <c r="AN28" s="473" t="e">
        <f ca="1">CheckLength2(IF($B$2="mil",1,0.0254)*1200,M21,R28,0)</f>
        <v>#NAME?</v>
      </c>
      <c r="AO28" s="473" t="str">
        <f>IF(AND(S28&gt;=IF($B$2="mil",1,0.0254)*500, $S28&lt;=IF($B$2="mil",1,0.0254)*6500),"Pass",IF($B$2="mil",1,0.0254)*6500-$S28)</f>
        <v>Pass</v>
      </c>
      <c r="AP28" s="504" t="str">
        <f>IF(AND($T28&gt;=IF($B$2="mil",1,0.0254)*500, $T28&lt;=IF($B$2="mil",1,0.0254)*7000),"Pass",IF($B$2="mil",1,0.0254)*7000-$T28)</f>
        <v>Pass</v>
      </c>
      <c r="AQ28" s="473" t="str">
        <f>IF(AND($Y28&gt;=IF($B$2="mil",1,0.0254)*500, $Y28&lt;=IF($B$2="mil",1,0.0254)*6500),"Pass",IF($B$2="mil",1,0.0254)*6500-$Y28)</f>
        <v>Pass</v>
      </c>
      <c r="AR28" s="474" t="str">
        <f>IF(AND($Z28&gt;=IF($B$2="mil",1,0.0254)*500, $Z28&lt;=IF($B$2="mil",1,0.0254)*7000),"Pass",IF($B$2="mil",1,0.0254)*7000-$Z28)</f>
        <v>Pass</v>
      </c>
      <c r="AS28" s="4" t="e">
        <f ca="1">IF(AND(W28="Pass",X28="Pass",AM28="Pass",AN28="Pass", AO28="Pass",AP28="Pass",AQ28="Pass",AR28="Pass", AC28="Pass", AD28="Pass"),"Pass","Fail")</f>
        <v>#NAME?</v>
      </c>
      <c r="AU28" s="4"/>
    </row>
    <row r="29" spans="1:47" x14ac:dyDescent="0.2">
      <c r="N29" s="2"/>
      <c r="O29" s="2"/>
      <c r="P29" s="214" t="s">
        <v>77</v>
      </c>
      <c r="Q29">
        <v>121.68</v>
      </c>
      <c r="R29">
        <v>178.07</v>
      </c>
      <c r="S29" s="490">
        <f>SUM($E22:$G22,$L22,$M22,$Q29)</f>
        <v>4295.3500000000004</v>
      </c>
      <c r="T29" s="479">
        <f>$S29+IF($B$2="mil",1,0.0254)*$C22</f>
        <v>4721.3500000000004</v>
      </c>
      <c r="U29" s="469">
        <v>4343.7611023622048</v>
      </c>
      <c r="V29" s="492">
        <v>6341.8317322834646</v>
      </c>
      <c r="W29" s="491" t="str">
        <f>IF($T29&lt;$U29,$U29-$T29,"Pass")</f>
        <v>Pass</v>
      </c>
      <c r="X29" s="492" t="str">
        <f>IF($T29&gt;$V29,$T29-$V29,"Pass")</f>
        <v>Pass</v>
      </c>
      <c r="Y29" s="490">
        <f>SUM($E22:$G22,$L22,$M22,$R29)</f>
        <v>4351.74</v>
      </c>
      <c r="Z29" s="479">
        <f>$Y29+IF($B$2="mil",1,0.0254)*$C22</f>
        <v>4777.74</v>
      </c>
      <c r="AA29" s="469">
        <v>4349.6811023622049</v>
      </c>
      <c r="AB29" s="469">
        <v>6348.3017322834648</v>
      </c>
      <c r="AC29" s="491" t="str">
        <f>IF($Z29&lt;$AA29,$AA29-$Z29,"Pass")</f>
        <v>Pass</v>
      </c>
      <c r="AD29" s="492" t="str">
        <f>IF($Z29&gt;$AB29,$Z29-$AB29,"Pass")</f>
        <v>Pass</v>
      </c>
      <c r="AE29" s="2"/>
      <c r="AF29" s="2"/>
      <c r="AG29" s="2"/>
      <c r="AH29" s="2"/>
      <c r="AI29" s="2"/>
      <c r="AJ29" s="2"/>
      <c r="AK29" s="2"/>
      <c r="AL29" s="214" t="s">
        <v>77</v>
      </c>
      <c r="AM29" s="473" t="e">
        <f ca="1">CheckLength2(IF($B$2="mil",1,0.0254)*1200,M22,Q29,0)</f>
        <v>#NAME?</v>
      </c>
      <c r="AN29" s="473" t="e">
        <f ca="1">CheckLength2(IF($B$2="mil",1,0.0254)*1200,M22,R29,0)</f>
        <v>#NAME?</v>
      </c>
      <c r="AO29" s="473" t="str">
        <f>IF(AND(S29&gt;=IF($B$2="mil",1,0.0254)*500, $S29&lt;=IF($B$2="mil",1,0.0254)*6500),"Pass",IF($B$2="mil",1,0.0254)*6500-$S29)</f>
        <v>Pass</v>
      </c>
      <c r="AP29" s="504" t="str">
        <f>IF(AND($T29&gt;=IF($B$2="mil",1,0.0254)*500, $T29&lt;=IF($B$2="mil",1,0.0254)*7000),"Pass",IF($B$2="mil",1,0.0254)*7000-$T29)</f>
        <v>Pass</v>
      </c>
      <c r="AQ29" s="473" t="str">
        <f>IF(AND($Y29&gt;=IF($B$2="mil",1,0.0254)*500, $Y29&lt;=IF($B$2="mil",1,0.0254)*6500),"Pass",IF($B$2="mil",1,0.0254)*6500-$Y29)</f>
        <v>Pass</v>
      </c>
      <c r="AR29" s="474" t="str">
        <f>IF(AND($Z29&gt;=IF($B$2="mil",1,0.0254)*500, $Z29&lt;=IF($B$2="mil",1,0.0254)*7000),"Pass",IF($B$2="mil",1,0.0254)*7000-$Z29)</f>
        <v>Pass</v>
      </c>
      <c r="AS29" s="4" t="e">
        <f ca="1">IF(AND(W29="Pass",X29="Pass",AM29="Pass",AN29="Pass", AO29="Pass",AP29="Pass",AQ29="Pass",AR29="Pass", AC29="Pass", AD29="Pass"),"Pass","Fail")</f>
        <v>#NAME?</v>
      </c>
      <c r="AU29" s="2"/>
    </row>
    <row r="30" spans="1:47" ht="42.75" customHeight="1" x14ac:dyDescent="0.2">
      <c r="N30" s="289" t="s">
        <v>494</v>
      </c>
      <c r="O30" s="289"/>
      <c r="P30" s="123" t="s">
        <v>617</v>
      </c>
      <c r="Q30" s="123" t="s">
        <v>618</v>
      </c>
      <c r="R30" s="123" t="s">
        <v>619</v>
      </c>
      <c r="S30" s="495" t="str">
        <f>"Total MB Length to U3 (L0+L1+L2+L5+L6-2+L8-5) ["&amp;$B$2&amp;"]"</f>
        <v>Total MB Length to U3 (L0+L1+L2+L5+L6-2+L8-5) [mil]</v>
      </c>
      <c r="T30" s="495" t="str">
        <f>"Total Pad to Pin U3 (P1+L0+L1+L2+L5+L6-2+L8-5) ["&amp;$B$2&amp;"]"</f>
        <v>Total Pad to Pin U3 (P1+L0+L1+L2+L5+L6-2+L8-5) [mil]</v>
      </c>
      <c r="U30" s="496" t="str">
        <f>"Target Min Length to U3
["&amp;$B$2&amp;"]"</f>
        <v>Target Min Length to U3
[mil]</v>
      </c>
      <c r="V30" s="497" t="str">
        <f>"Target Max Length to U3 
["&amp;$B$2&amp;"]"</f>
        <v>Target Max Length to U3 
[mil]</v>
      </c>
      <c r="W30" s="498" t="str">
        <f>"Routed Too Short to U3 [" &amp;$B$2&amp;"]"</f>
        <v>Routed Too Short to U3 [mil]</v>
      </c>
      <c r="X30" s="496" t="str">
        <f>"Routed Too Long to U3 [" &amp;$B$2&amp;"]"</f>
        <v>Routed Too Long to U3 [mil]</v>
      </c>
      <c r="Y30" s="495" t="str">
        <f>"Total MB Length to U7 (L0+L1+L2+L5+L6-2+L8-6) ["&amp;$B$2&amp;"]"</f>
        <v>Total MB Length to U7 (L0+L1+L2+L5+L6-2+L8-6) [mil]</v>
      </c>
      <c r="Z30" s="495" t="str">
        <f>"Total Pad to Pin U7 (P1+L0+L1+L2+L5+L6-2+L8-6) ["&amp;$B$2&amp;"]"</f>
        <v>Total Pad to Pin U7 (P1+L0+L1+L2+L5+L6-2+L8-6) [mil]</v>
      </c>
      <c r="AA30" s="496" t="str">
        <f>"Target Min Length to U7
["&amp;$B$2&amp;"]"</f>
        <v>Target Min Length to U7
[mil]</v>
      </c>
      <c r="AB30" s="497" t="str">
        <f>"Target Max Length to U7 
["&amp;$B$2&amp;"]"</f>
        <v>Target Max Length to U7 
[mil]</v>
      </c>
      <c r="AC30" s="498" t="str">
        <f>"Routed Too Short to U7 [" &amp;$B$2&amp;"]"</f>
        <v>Routed Too Short to U7 [mil]</v>
      </c>
      <c r="AD30" s="496" t="str">
        <f>"Routed Too Long to U7 [" &amp;$B$2&amp;"]"</f>
        <v>Routed Too Long to U7 [mil]</v>
      </c>
      <c r="AE30" s="2"/>
      <c r="AF30" s="2"/>
      <c r="AG30" s="2"/>
      <c r="AH30" s="2"/>
      <c r="AI30" s="499" t="s">
        <v>494</v>
      </c>
      <c r="AJ30" s="500" t="str">
        <f>"L6-2 Length Test (&lt;=" &amp; IF($B$2="mil",1,0.0254)*1000&amp;$B$2&amp;")"</f>
        <v>L6-2 Length Test (&lt;=1000mil)</v>
      </c>
      <c r="AK30" s="2"/>
      <c r="AL30" s="499" t="s">
        <v>494</v>
      </c>
      <c r="AM30" s="500" t="str">
        <f>"L8-5 Length Test (&lt;=" &amp; IF($B$2="mil",1,0.0254)*200&amp;$B$2&amp;") or (L6-2+L8-5&lt;= "&amp;IF($B$2="mil",1,0.0254)*1200&amp;$B$2&amp;")"</f>
        <v>L8-5 Length Test (&lt;=200mil) or (L6-2+L8-5&lt;= 1200mil)</v>
      </c>
      <c r="AN30" s="500" t="str">
        <f>"L8-6 Length Test (&lt;=" &amp; IF($B$2="mil",1,0.0254)*200&amp;$B$2&amp;") or (L6-2+L8-6&lt;= "&amp;IF($B$2="mil",1,0.0254)*1200&amp;$B$2&amp;")"</f>
        <v>L8-6 Length Test (&lt;=200mil) or (L6-2+L8-6&lt;= 1200mil)</v>
      </c>
      <c r="AO30" s="497" t="str">
        <f>"Total Length to U3 (L0+L1+L2+L5+L6-2+L8-5) Test
 ("&amp;IF($B$2="mil",1,0.0254)*500&amp;"-"&amp;IF($B$2="mil",1,0.0254)*6500&amp;IF($B$2="mil","mil","mm")&amp;")"</f>
        <v>Total Length to U3 (L0+L1+L2+L5+L6-2+L8-5) Test
 (500-6500mil)</v>
      </c>
      <c r="AP30" s="497" t="str">
        <f>"Total Length to U3 (P1+L0+L1+L2+L5+L6-2+L8-5) Test
 (&lt;="&amp;IF($B$2="mil",1,25.4)*7000&amp;IF($B$2="mil","mil","mm")&amp;")"</f>
        <v>Total Length to U3 (P1+L0+L1+L2+L5+L6-2+L8-5) Test
 (&lt;=7000mil)</v>
      </c>
      <c r="AQ30" s="500" t="str">
        <f>"Total Length to U7 (L0+L1+L2+L5+L6-2+L8-6) Test
 ("&amp;IF($B$2="mil",1,0.0254)*500&amp;"-"&amp;IF($B$2="mil",1,0.0254)*6500&amp;IF($B$2="mil","mil","mm")&amp;")"</f>
        <v>Total Length to U7 (L0+L1+L2+L5+L6-2+L8-6) Test
 (500-6500mil)</v>
      </c>
      <c r="AR30" s="497" t="str">
        <f>"Total Length to U7 (P1+L0+L1+L2+L5+L6-2+L8-6) Test
 (&lt;="&amp;IF($B$2="mil",1,25.4)*7000&amp;IF($B$2="mil","mil","mm")&amp;")"</f>
        <v>Total Length to U7 (P1+L0+L1+L2+L5+L6-2+L8-6) Test
 (&lt;=7000mil)</v>
      </c>
      <c r="AS30" s="2"/>
      <c r="AU30" s="2"/>
    </row>
    <row r="31" spans="1:47" ht="11.25" customHeight="1" x14ac:dyDescent="0.2">
      <c r="N31" s="134" t="s">
        <v>258</v>
      </c>
      <c r="O31" s="134"/>
      <c r="P31" s="135"/>
      <c r="Q31" s="135"/>
      <c r="R31" s="135"/>
      <c r="S31" s="135"/>
      <c r="T31" s="135"/>
      <c r="U31" s="135"/>
      <c r="V31" s="385"/>
      <c r="W31" s="135"/>
      <c r="X31" s="135"/>
      <c r="Y31" s="135"/>
      <c r="Z31" s="135"/>
      <c r="AA31" s="135"/>
      <c r="AB31" s="135"/>
      <c r="AC31" s="135"/>
      <c r="AD31" s="135"/>
      <c r="AE31" s="2"/>
      <c r="AF31" s="2"/>
      <c r="AG31" s="2"/>
      <c r="AH31" s="2"/>
      <c r="AI31" s="134" t="s">
        <v>258</v>
      </c>
      <c r="AJ31" s="135"/>
      <c r="AK31" s="2"/>
      <c r="AL31" s="134" t="s">
        <v>258</v>
      </c>
      <c r="AM31" s="135"/>
      <c r="AN31" s="135"/>
      <c r="AO31" s="135"/>
      <c r="AP31" s="137"/>
      <c r="AQ31" s="135"/>
      <c r="AR31" s="137"/>
      <c r="AS31" s="2"/>
      <c r="AU31" s="2"/>
    </row>
    <row r="32" spans="1:47" ht="12" customHeight="1" x14ac:dyDescent="0.2">
      <c r="N32" s="235" t="s">
        <v>262</v>
      </c>
      <c r="O32" s="235"/>
      <c r="P32" s="143"/>
      <c r="Q32" s="143"/>
      <c r="R32" s="143"/>
      <c r="S32" s="143"/>
      <c r="T32" s="502" t="s">
        <v>274</v>
      </c>
      <c r="U32" s="487">
        <v>4646.5817322834646</v>
      </c>
      <c r="V32" s="484">
        <v>4648.851732283465</v>
      </c>
      <c r="W32" s="487"/>
      <c r="X32" s="145"/>
      <c r="Y32" s="143"/>
      <c r="Z32" s="502" t="s">
        <v>334</v>
      </c>
      <c r="AA32" s="487">
        <v>4665.351732283465</v>
      </c>
      <c r="AB32" s="486">
        <v>4665.351732283465</v>
      </c>
      <c r="AC32" s="487"/>
      <c r="AD32" s="145"/>
      <c r="AE32" s="2"/>
      <c r="AF32" s="2"/>
      <c r="AG32" s="2"/>
      <c r="AH32" s="2"/>
      <c r="AI32" s="140" t="s">
        <v>262</v>
      </c>
      <c r="AJ32" s="483"/>
      <c r="AK32" s="2"/>
      <c r="AL32" s="140" t="s">
        <v>262</v>
      </c>
      <c r="AM32" s="483"/>
      <c r="AN32" s="483"/>
      <c r="AO32" s="483"/>
      <c r="AP32" s="484"/>
      <c r="AQ32" s="483"/>
      <c r="AR32" s="484"/>
      <c r="AS32" s="2"/>
      <c r="AU32" s="2"/>
    </row>
    <row r="33" spans="14:47" ht="12" customHeight="1" x14ac:dyDescent="0.2">
      <c r="N33" s="180" t="s">
        <v>616</v>
      </c>
      <c r="O33" s="365"/>
      <c r="P33" s="157"/>
      <c r="Q33" s="157"/>
      <c r="R33" s="157"/>
      <c r="S33" s="157"/>
      <c r="T33" s="157"/>
      <c r="U33" s="155"/>
      <c r="V33" s="514"/>
      <c r="W33" s="476"/>
      <c r="X33" s="155"/>
      <c r="Y33" s="157"/>
      <c r="Z33" s="157"/>
      <c r="AA33" s="155"/>
      <c r="AB33" s="476"/>
      <c r="AC33" s="476"/>
      <c r="AD33" s="155"/>
      <c r="AE33" s="2"/>
      <c r="AF33" s="2"/>
      <c r="AG33" s="2"/>
      <c r="AH33" s="2"/>
      <c r="AI33" s="134" t="s">
        <v>616</v>
      </c>
      <c r="AJ33" s="155"/>
      <c r="AK33" s="2"/>
      <c r="AL33" s="134" t="s">
        <v>616</v>
      </c>
      <c r="AM33" s="155"/>
      <c r="AN33" s="155"/>
      <c r="AO33" s="155"/>
      <c r="AP33" s="244"/>
      <c r="AQ33" s="155"/>
      <c r="AR33" s="244"/>
      <c r="AS33" s="2"/>
      <c r="AU33" s="2"/>
    </row>
    <row r="34" spans="14:47" ht="12" customHeight="1" x14ac:dyDescent="0.2">
      <c r="N34" s="161" t="s">
        <v>73</v>
      </c>
      <c r="O34" s="162"/>
      <c r="P34">
        <v>634.35</v>
      </c>
      <c r="Q34">
        <v>71.739999999999995</v>
      </c>
      <c r="R34">
        <v>140.41</v>
      </c>
      <c r="S34" s="490">
        <f>SUM($E20:$G20,$L20,$P34,$Q34)</f>
        <v>4318.41</v>
      </c>
      <c r="T34" s="479">
        <f>$S34+IF($B$2="mil",1,0.0254)*$C20</f>
        <v>4784.41</v>
      </c>
      <c r="U34" s="469">
        <v>4648.851732283465</v>
      </c>
      <c r="V34" s="492">
        <v>6646.5817322834646</v>
      </c>
      <c r="W34" s="491" t="str">
        <f>IF($T34&lt;$U34,$U34-$T34,"Pass")</f>
        <v>Pass</v>
      </c>
      <c r="X34" s="492" t="str">
        <f>IF($T34&gt;$V34,$T34-$V34,"Pass")</f>
        <v>Pass</v>
      </c>
      <c r="Y34" s="490">
        <f>SUM($E20:$G20,$L20,$P34,$R34)</f>
        <v>4387.08</v>
      </c>
      <c r="Z34" s="479">
        <f>$Y34+IF($B$2="mil",1,0.0254)*$C20</f>
        <v>4853.08</v>
      </c>
      <c r="AA34" s="469">
        <v>4665.351732283465</v>
      </c>
      <c r="AB34" s="469">
        <v>6665.351732283465</v>
      </c>
      <c r="AC34" s="491" t="str">
        <f>IF($Z34&lt;$AA34,$AA34-$Z34,"Pass")</f>
        <v>Pass</v>
      </c>
      <c r="AD34" s="492" t="str">
        <f>IF($Z34&gt;$AB34,$Z34-$AB34,"Pass")</f>
        <v>Pass</v>
      </c>
      <c r="AE34" s="2"/>
      <c r="AF34" s="2"/>
      <c r="AG34" s="2"/>
      <c r="AH34" s="2"/>
      <c r="AI34" s="161" t="s">
        <v>73</v>
      </c>
      <c r="AJ34" s="504" t="str">
        <f>IF(P34&lt;=IF($B$2="mil",1,0.0254)*1000,"Pass",IF($B$2="mil",1,0.0254)*1000-P34)</f>
        <v>Pass</v>
      </c>
      <c r="AK34" s="2"/>
      <c r="AL34" s="161" t="s">
        <v>73</v>
      </c>
      <c r="AM34" s="473" t="e">
        <f ca="1">CheckLength2(IF($B$2="mil",1,0.0254)*1200,P34,Q34,0)</f>
        <v>#NAME?</v>
      </c>
      <c r="AN34" s="473" t="e">
        <f ca="1">CheckLength2(IF($B$2="mil",1,0.0254)*1200,P34,R34,0)</f>
        <v>#NAME?</v>
      </c>
      <c r="AO34" s="473" t="str">
        <f>IF(AND(S34&gt;=IF($B$2="mil",1,0.0254)*500, $S34&lt;=IF($B$2="mil",1,0.0254)*6500),"Pass",IF($B$2="mil",1,0.0254)*6500-$S34)</f>
        <v>Pass</v>
      </c>
      <c r="AP34" s="504" t="str">
        <f>IF(AND($T34&gt;=IF($B$2="mil",1,0.0254)*500, $T34&lt;=IF($B$2="mil",1,0.0254)*7000),"Pass",IF($B$2="mil",1,0.0254)*7000-$T34)</f>
        <v>Pass</v>
      </c>
      <c r="AQ34" s="473" t="str">
        <f>IF(AND($Y34&gt;=IF($B$2="mil",1,0.0254)*500, $Y34&lt;=IF($B$2="mil",1,0.0254)*6500),"Pass",IF($B$2="mil",1,0.0254)*6500-$Y34)</f>
        <v>Pass</v>
      </c>
      <c r="AR34" s="474" t="str">
        <f>IF(AND($Z34&gt;=IF($B$2="mil",1,0.0254)*500, $Z34&lt;=IF($B$2="mil",1,0.0254)*7000),"Pass",IF($B$2="mil",1,0.0254)*7000-$Z34)</f>
        <v>Pass</v>
      </c>
      <c r="AS34" s="4" t="e">
        <f ca="1">IF(AND(W34="Pass",X34="Pass",AM34="Pass",AO34="Pass",AP34="Pass",AQ34="Pass",AR34="Pass", AC34="Pass", AD34="Pass", AJ34="Pass", AN34="Pass"),"Pass","Fail")</f>
        <v>#NAME?</v>
      </c>
      <c r="AT34" t="e">
        <f ca="1">IF(AND(AS34="Pass", AS36="Pass", AS35="Pass"),"Pass","Fail")</f>
        <v>#NAME?</v>
      </c>
      <c r="AU34" s="4"/>
    </row>
    <row r="35" spans="14:47" ht="12.75" customHeight="1" x14ac:dyDescent="0.2">
      <c r="N35" s="214" t="s">
        <v>75</v>
      </c>
      <c r="O35" s="217"/>
      <c r="P35">
        <v>503.87</v>
      </c>
      <c r="Q35">
        <v>116.96</v>
      </c>
      <c r="R35">
        <v>180.68</v>
      </c>
      <c r="S35" s="490">
        <f>SUM($E21:$G21,$L21,$P35,$Q35)</f>
        <v>4330.1900000000005</v>
      </c>
      <c r="T35" s="479">
        <f>$S35+IF($B$2="mil",1,0.0254)*$C21</f>
        <v>4710.1900000000005</v>
      </c>
      <c r="U35" s="469">
        <v>4648.851732283465</v>
      </c>
      <c r="V35" s="492">
        <v>6646.5817322834646</v>
      </c>
      <c r="W35" s="491" t="str">
        <f>IF($T35&lt;$U35,$U35-$T35,"Pass")</f>
        <v>Pass</v>
      </c>
      <c r="X35" s="492" t="str">
        <f>IF($T35&gt;$V35,$T35-$V35,"Pass")</f>
        <v>Pass</v>
      </c>
      <c r="Y35" s="490">
        <f>SUM($E21:$G21,$L21,$P35,$R35)</f>
        <v>4393.9100000000008</v>
      </c>
      <c r="Z35" s="479">
        <f>$Y35+IF($B$2="mil",1,0.0254)*$C21</f>
        <v>4773.9100000000008</v>
      </c>
      <c r="AA35" s="469">
        <v>4665.351732283465</v>
      </c>
      <c r="AB35" s="469">
        <v>6665.351732283465</v>
      </c>
      <c r="AC35" s="491" t="str">
        <f>IF($Z35&lt;$AA35,$AA35-$Z35,"Pass")</f>
        <v>Pass</v>
      </c>
      <c r="AD35" s="492" t="str">
        <f>IF($Z35&gt;$AB35,$Z35-$AB35,"Pass")</f>
        <v>Pass</v>
      </c>
      <c r="AE35" s="2"/>
      <c r="AF35" s="2"/>
      <c r="AG35" s="2"/>
      <c r="AH35" s="2"/>
      <c r="AI35" s="214" t="s">
        <v>75</v>
      </c>
      <c r="AJ35" s="504" t="str">
        <f>IF(P35&lt;=IF($B$2="mil",1,0.0254)*1000,"Pass",IF($B$2="mil",1,0.0254)*1000-P35)</f>
        <v>Pass</v>
      </c>
      <c r="AK35" s="2"/>
      <c r="AL35" s="214" t="s">
        <v>75</v>
      </c>
      <c r="AM35" s="473" t="e">
        <f ca="1">CheckLength2(IF($B$2="mil",1,0.0254)*1200,P35,Q35,0)</f>
        <v>#NAME?</v>
      </c>
      <c r="AN35" s="473" t="e">
        <f ca="1">CheckLength2(IF($B$2="mil",1,0.0254)*1200,P35,R35,0)</f>
        <v>#NAME?</v>
      </c>
      <c r="AO35" s="473" t="str">
        <f>IF(AND(S35&gt;=IF($B$2="mil",1,0.0254)*500, $S35&lt;=IF($B$2="mil",1,0.0254)*6500),"Pass",IF($B$2="mil",1,0.0254)*6500-$S35)</f>
        <v>Pass</v>
      </c>
      <c r="AP35" s="504" t="str">
        <f>IF(AND($T35&gt;=IF($B$2="mil",1,0.0254)*500, $T35&lt;=IF($B$2="mil",1,0.0254)*7000),"Pass",IF($B$2="mil",1,0.0254)*7000-$T35)</f>
        <v>Pass</v>
      </c>
      <c r="AQ35" s="473" t="str">
        <f>IF(AND($Y35&gt;=IF($B$2="mil",1,0.0254)*500, $Y35&lt;=IF($B$2="mil",1,0.0254)*6500),"Pass",IF($B$2="mil",1,0.0254)*6500-$Y35)</f>
        <v>Pass</v>
      </c>
      <c r="AR35" s="474" t="str">
        <f>IF(AND($Z35&gt;=IF($B$2="mil",1,0.0254)*500, $Z35&lt;=IF($B$2="mil",1,0.0254)*7000),"Pass",IF($B$2="mil",1,0.0254)*7000-$Z35)</f>
        <v>Pass</v>
      </c>
      <c r="AS35" s="4" t="e">
        <f ca="1">IF(AND(W35="Pass",X35="Pass",AM35="Pass",AO35="Pass",AP35="Pass",AQ35="Pass",AR35="Pass", AC35="Pass", AD35="Pass", AJ35="Pass", AN35="Pass"),"Pass","Fail")</f>
        <v>#NAME?</v>
      </c>
      <c r="AU35" s="4"/>
    </row>
    <row r="36" spans="14:47" ht="10.5" customHeight="1" x14ac:dyDescent="0.2">
      <c r="N36" s="214" t="s">
        <v>77</v>
      </c>
      <c r="O36" s="217"/>
      <c r="P36">
        <v>501.42</v>
      </c>
      <c r="Q36">
        <v>121.68</v>
      </c>
      <c r="R36">
        <v>178.07</v>
      </c>
      <c r="S36" s="490">
        <f>SUM($E22:$G22,$L22,$P36,$Q36)</f>
        <v>4286.1500000000005</v>
      </c>
      <c r="T36" s="479">
        <f>$S36+IF($B$2="mil",1,0.0254)*$C22</f>
        <v>4712.1500000000005</v>
      </c>
      <c r="U36" s="469">
        <v>4648.851732283465</v>
      </c>
      <c r="V36" s="492">
        <v>6646.5817322834646</v>
      </c>
      <c r="W36" s="491" t="str">
        <f>IF($T36&lt;$U36,$U36-$T36,"Pass")</f>
        <v>Pass</v>
      </c>
      <c r="X36" s="492" t="str">
        <f>IF($T36&gt;$V36,$T36-$V36,"Pass")</f>
        <v>Pass</v>
      </c>
      <c r="Y36" s="490">
        <f>SUM($E22:$G22,$L22,$P36,$R36)</f>
        <v>4342.54</v>
      </c>
      <c r="Z36" s="479">
        <f>$Y36+IF($B$2="mil",1,0.0254)*$C22</f>
        <v>4768.54</v>
      </c>
      <c r="AA36" s="469">
        <v>4665.351732283465</v>
      </c>
      <c r="AB36" s="469">
        <v>6665.351732283465</v>
      </c>
      <c r="AC36" s="491" t="str">
        <f>IF($Z36&lt;$AA36,$AA36-$Z36,"Pass")</f>
        <v>Pass</v>
      </c>
      <c r="AD36" s="492" t="str">
        <f>IF($Z36&gt;$AB36,$Z36-$AB36,"Pass")</f>
        <v>Pass</v>
      </c>
      <c r="AE36" s="2"/>
      <c r="AF36" s="2"/>
      <c r="AG36" s="2"/>
      <c r="AH36" s="2"/>
      <c r="AI36" s="214" t="s">
        <v>77</v>
      </c>
      <c r="AJ36" s="504" t="str">
        <f>IF(P36&lt;=IF($B$2="mil",1,0.0254)*1000,"Pass",IF($B$2="mil",1,0.0254)*1000-P36)</f>
        <v>Pass</v>
      </c>
      <c r="AK36" s="2"/>
      <c r="AL36" s="214" t="s">
        <v>77</v>
      </c>
      <c r="AM36" s="473" t="e">
        <f ca="1">CheckLength2(IF($B$2="mil",1,0.0254)*1200,P36,Q36,0)</f>
        <v>#NAME?</v>
      </c>
      <c r="AN36" s="473" t="e">
        <f ca="1">CheckLength2(IF($B$2="mil",1,0.0254)*1200,P36,R36,0)</f>
        <v>#NAME?</v>
      </c>
      <c r="AO36" s="473" t="str">
        <f>IF(AND(S36&gt;=IF($B$2="mil",1,0.0254)*500, $S36&lt;=IF($B$2="mil",1,0.0254)*6500),"Pass",IF($B$2="mil",1,0.0254)*6500-$S36)</f>
        <v>Pass</v>
      </c>
      <c r="AP36" s="504" t="str">
        <f>IF(AND($T36&gt;=IF($B$2="mil",1,0.0254)*500, $T36&lt;=IF($B$2="mil",1,0.0254)*7000),"Pass",IF($B$2="mil",1,0.0254)*7000-$T36)</f>
        <v>Pass</v>
      </c>
      <c r="AQ36" s="473" t="str">
        <f>IF(AND($Y36&gt;=IF($B$2="mil",1,0.0254)*500, $Y36&lt;=IF($B$2="mil",1,0.0254)*6500),"Pass",IF($B$2="mil",1,0.0254)*6500-$Y36)</f>
        <v>Pass</v>
      </c>
      <c r="AR36" s="474" t="str">
        <f>IF(AND($Z36&gt;=IF($B$2="mil",1,0.0254)*500, $Z36&lt;=IF($B$2="mil",1,0.0254)*7000),"Pass",IF($B$2="mil",1,0.0254)*7000-$Z36)</f>
        <v>Pass</v>
      </c>
      <c r="AS36" s="4" t="e">
        <f ca="1">IF(AND(W36="Pass",X36="Pass",AM36="Pass",AO36="Pass",AP36="Pass",AQ36="Pass",AR36="Pass", AC36="Pass", AD36="Pass", AJ36="Pass", AN36="Pass"),"Pass","Fail")</f>
        <v>#NAME?</v>
      </c>
      <c r="AU36" s="2"/>
    </row>
    <row r="37" spans="14:47" ht="46.5" customHeight="1" x14ac:dyDescent="0.2">
      <c r="N37" s="289" t="s">
        <v>494</v>
      </c>
      <c r="O37" s="289"/>
      <c r="P37" s="123" t="s">
        <v>620</v>
      </c>
      <c r="Q37" s="123" t="s">
        <v>621</v>
      </c>
      <c r="R37" s="123" t="s">
        <v>622</v>
      </c>
      <c r="S37" s="495" t="str">
        <f>"Total MB Length to U4 (L0+L1+L2+L5+L6-2+L7-2+L8-7) ["&amp;$B$2&amp;"]"</f>
        <v>Total MB Length to U4 (L0+L1+L2+L5+L6-2+L7-2+L8-7) [mil]</v>
      </c>
      <c r="T37" s="495" t="str">
        <f>"Total Pad to Pin U4 (P1+LL0+L1+L2+L5+L6-2+L7-2+L8-7) ["&amp;$B$2&amp;"]"</f>
        <v>Total Pad to Pin U4 (P1+LL0+L1+L2+L5+L6-2+L7-2+L8-7) [mil]</v>
      </c>
      <c r="U37" s="496" t="str">
        <f>"Target Min Length  to U4
["&amp;$B$2&amp;"]"</f>
        <v>Target Min Length  to U4
[mil]</v>
      </c>
      <c r="V37" s="497" t="str">
        <f>"Target Max Length  to U4 
["&amp;$B$2&amp;"]"</f>
        <v>Target Max Length  to U4 
[mil]</v>
      </c>
      <c r="W37" s="498" t="str">
        <f>"Routed Too Short to U4 [" &amp;$B$2&amp;"]"</f>
        <v>Routed Too Short to U4 [mil]</v>
      </c>
      <c r="X37" s="496" t="str">
        <f>"Routed Too Long to U4 [" &amp;$B$2&amp;"]"</f>
        <v>Routed Too Long to U4 [mil]</v>
      </c>
      <c r="Y37" s="495" t="str">
        <f>"Total MB Length to U8 (L0+L1+L2+L5+L6-2+L7-2+L8-8) ["&amp;$B$2&amp;"]"</f>
        <v>Total MB Length to U8 (L0+L1+L2+L5+L6-2+L7-2+L8-8) [mil]</v>
      </c>
      <c r="Z37" s="495" t="str">
        <f>"Total Pad to Pin U8 (P1+L0+L1+L2+L5+L6-2+L7-2+L8-8) ["&amp;$B$2&amp;"]"</f>
        <v>Total Pad to Pin U8 (P1+L0+L1+L2+L5+L6-2+L7-2+L8-8) [mil]</v>
      </c>
      <c r="AA37" s="496" t="str">
        <f>"Target Min Length  to U8
["&amp;$B$2&amp;"]"</f>
        <v>Target Min Length  to U8
[mil]</v>
      </c>
      <c r="AB37" s="497" t="str">
        <f>"Target Max Length  to U8 
["&amp;$B$2&amp;"]"</f>
        <v>Target Max Length  to U8 
[mil]</v>
      </c>
      <c r="AC37" s="498" t="str">
        <f>"Routed Too Short to U8 [" &amp;$B$2&amp;"]"</f>
        <v>Routed Too Short to U8 [mil]</v>
      </c>
      <c r="AD37" s="496" t="str">
        <f>"Routed Too Long to U8 [" &amp;$B$2&amp;"]"</f>
        <v>Routed Too Long to U8 [mil]</v>
      </c>
      <c r="AE37" s="2"/>
      <c r="AF37" s="2"/>
      <c r="AG37" s="2"/>
      <c r="AH37" s="2"/>
      <c r="AI37" s="2"/>
      <c r="AJ37" s="2"/>
      <c r="AK37" s="512" t="s">
        <v>494</v>
      </c>
      <c r="AL37" s="497" t="str">
        <f>"L7-2 Length Test (&lt;=" &amp; IF($B$2="mil",1,0.0254)*1250&amp;$B$2&amp;")"</f>
        <v>L7-2 Length Test (&lt;=1250mil)</v>
      </c>
      <c r="AM37" s="500" t="str">
        <f>"L8-7 Length Test (&lt;=" &amp; IF($B$2="mil",1,0.0254)*200&amp;$B$2&amp;") or (L7-2+L8-7&lt;= "&amp;IF($B$2="mil",1,0.0254)*1450&amp;$B$2&amp;")"</f>
        <v>L8-7 Length Test (&lt;=200mil) or (L7-2+L8-7&lt;= 1450mil)</v>
      </c>
      <c r="AN37" s="500" t="str">
        <f>"L8-8 Length Test (&lt;=" &amp; IF($B$2="mil",1,0.0254)*200&amp;$B$2&amp;") or (L7-2+L8-8&lt;= "&amp;IF($B$2="mil",1,0.0254)*1450&amp;$B$2&amp;")"</f>
        <v>L8-8 Length Test (&lt;=200mil) or (L7-2+L8-8&lt;= 1450mil)</v>
      </c>
      <c r="AO37" s="497" t="str">
        <f>"Total Length to U4 (L0+L1+L2+L5+L6-2+L7-2+L8-7) Test
 ("&amp;IF($B$2="mil",1,0.0254)*500&amp;"-"&amp;IF($B$2="mil",1,0.0254)*6500&amp;IF($B$2="mil","mil","mm")&amp;")"</f>
        <v>Total Length to U4 (L0+L1+L2+L5+L6-2+L7-2+L8-7) Test
 (500-6500mil)</v>
      </c>
      <c r="AP37" s="497" t="str">
        <f>"Total Length to U4 (P1+L0+L1+L2+L5+L6-2+L7-2+L8-7) Test
 (&lt;="&amp;IF($B$2="mil",1,25.4)*7000&amp;IF($B$2="mil","mil","mm")&amp;")"</f>
        <v>Total Length to U4 (P1+L0+L1+L2+L5+L6-2+L7-2+L8-7) Test
 (&lt;=7000mil)</v>
      </c>
      <c r="AQ37" s="500" t="str">
        <f>"Total Length to U8 (L0+L1+L2+L5+L6-2+L7-2+L8-8) Test
 ("&amp;IF($B$2="mil",1,0.0254)*500&amp;"-"&amp;IF($B$2="mil",1,0.0254)*6500&amp;IF($B$2="mil","mil","mm")&amp;")"</f>
        <v>Total Length to U8 (L0+L1+L2+L5+L6-2+L7-2+L8-8) Test
 (500-6500mil)</v>
      </c>
      <c r="AR37" s="497" t="str">
        <f>"Total Length to U8 (P1+L0+L1+L2+L5+L6-2+L7-2+L8-8) Test
 (&lt;="&amp;IF($B$2="mil",1,25.4)*7000&amp;IF($B$2="mil","mil","mm")&amp;")"</f>
        <v>Total Length to U8 (P1+L0+L1+L2+L5+L6-2+L7-2+L8-8) Test
 (&lt;=7000mil)</v>
      </c>
      <c r="AS37" s="2"/>
      <c r="AU37" s="2"/>
    </row>
    <row r="38" spans="14:47" ht="15.75" customHeight="1" x14ac:dyDescent="0.2">
      <c r="N38" s="134" t="s">
        <v>258</v>
      </c>
      <c r="O38" s="134"/>
      <c r="P38" s="135"/>
      <c r="Q38" s="135"/>
      <c r="R38" s="135"/>
      <c r="S38" s="135"/>
      <c r="T38" s="135"/>
      <c r="U38" s="135"/>
      <c r="V38" s="385"/>
      <c r="W38" s="135"/>
      <c r="X38" s="135"/>
      <c r="Y38" s="135"/>
      <c r="Z38" s="135"/>
      <c r="AA38" s="135"/>
      <c r="AB38" s="135"/>
      <c r="AC38" s="135"/>
      <c r="AD38" s="135"/>
      <c r="AE38" s="2"/>
      <c r="AF38" s="2"/>
      <c r="AG38" s="2"/>
      <c r="AH38" s="2"/>
      <c r="AI38" s="2"/>
      <c r="AJ38" s="2"/>
      <c r="AK38" s="134" t="s">
        <v>258</v>
      </c>
      <c r="AL38" s="137"/>
      <c r="AM38" s="135"/>
      <c r="AN38" s="135"/>
      <c r="AO38" s="135"/>
      <c r="AP38" s="137"/>
      <c r="AQ38" s="135"/>
      <c r="AR38" s="137"/>
      <c r="AS38" s="2"/>
      <c r="AU38" s="2"/>
    </row>
    <row r="39" spans="14:47" ht="14.25" customHeight="1" x14ac:dyDescent="0.2">
      <c r="N39" s="235" t="s">
        <v>262</v>
      </c>
      <c r="O39" s="235"/>
      <c r="P39" s="143"/>
      <c r="Q39" s="143"/>
      <c r="R39" s="143"/>
      <c r="S39" s="143"/>
      <c r="T39" s="502" t="s">
        <v>273</v>
      </c>
      <c r="U39" s="487">
        <v>4832.9417322834652</v>
      </c>
      <c r="V39" s="484">
        <v>4836.7017322834654</v>
      </c>
      <c r="W39" s="487"/>
      <c r="X39" s="145"/>
      <c r="Y39" s="143"/>
      <c r="Z39" s="502" t="s">
        <v>335</v>
      </c>
      <c r="AA39" s="487">
        <v>4813.2517322834647</v>
      </c>
      <c r="AB39" s="486">
        <v>4814.9817322834651</v>
      </c>
      <c r="AC39" s="487"/>
      <c r="AD39" s="145"/>
      <c r="AE39" s="2"/>
      <c r="AF39" s="2"/>
      <c r="AG39" s="2"/>
      <c r="AH39" s="2"/>
      <c r="AI39" s="2"/>
      <c r="AJ39" s="2"/>
      <c r="AK39" s="141" t="s">
        <v>262</v>
      </c>
      <c r="AL39" s="484"/>
      <c r="AM39" s="483"/>
      <c r="AN39" s="483"/>
      <c r="AO39" s="483"/>
      <c r="AP39" s="484"/>
      <c r="AQ39" s="483"/>
      <c r="AR39" s="484"/>
      <c r="AS39" s="2"/>
      <c r="AU39" s="2"/>
    </row>
    <row r="40" spans="14:47" ht="13.5" customHeight="1" x14ac:dyDescent="0.2">
      <c r="N40" s="180" t="s">
        <v>616</v>
      </c>
      <c r="O40" s="365"/>
      <c r="P40" s="157"/>
      <c r="Q40" s="157"/>
      <c r="R40" s="157"/>
      <c r="S40" s="157"/>
      <c r="T40" s="157"/>
      <c r="U40" s="155"/>
      <c r="V40" s="514"/>
      <c r="W40" s="476"/>
      <c r="X40" s="155"/>
      <c r="Y40" s="157"/>
      <c r="Z40" s="157"/>
      <c r="AA40" s="155"/>
      <c r="AB40" s="476"/>
      <c r="AC40" s="476"/>
      <c r="AD40" s="155"/>
      <c r="AE40" s="2"/>
      <c r="AF40" s="2"/>
      <c r="AG40" s="2"/>
      <c r="AH40" s="2"/>
      <c r="AI40" s="2"/>
      <c r="AJ40" s="2"/>
      <c r="AK40" s="134" t="s">
        <v>616</v>
      </c>
      <c r="AL40" s="244"/>
      <c r="AM40" s="155"/>
      <c r="AN40" s="155"/>
      <c r="AO40" s="155"/>
      <c r="AP40" s="244"/>
      <c r="AQ40" s="155"/>
      <c r="AR40" s="244"/>
      <c r="AS40" s="2"/>
      <c r="AU40" s="2"/>
    </row>
    <row r="41" spans="14:47" ht="11.25" customHeight="1" x14ac:dyDescent="0.2">
      <c r="N41" s="161" t="s">
        <v>73</v>
      </c>
      <c r="O41" s="162"/>
      <c r="P41">
        <v>661.48</v>
      </c>
      <c r="Q41">
        <v>71.86</v>
      </c>
      <c r="R41">
        <v>142.6</v>
      </c>
      <c r="S41" s="490">
        <f>SUM($E20:$G20,$L20,$P41,$P34,$Q41)</f>
        <v>4980.01</v>
      </c>
      <c r="T41" s="479">
        <f>$S41+IF($B$2="mil",1,0.0254)*$C20</f>
        <v>5446.01</v>
      </c>
      <c r="U41" s="469">
        <v>4836.7017322834654</v>
      </c>
      <c r="V41" s="492">
        <v>6832.9417322834652</v>
      </c>
      <c r="W41" s="491" t="str">
        <f>IF($T41&lt;$U41,$U41-$T41,"Pass")</f>
        <v>Pass</v>
      </c>
      <c r="X41" s="492" t="str">
        <f>IF($T41&gt;$V41,$T41-$V41,"Pass")</f>
        <v>Pass</v>
      </c>
      <c r="Y41" s="490">
        <f>SUM($E20:$G20,$L20,$P41,$P34,$R41)</f>
        <v>5050.7500000000009</v>
      </c>
      <c r="Z41" s="479">
        <f>$Y41+IF($B$2="mil",1,0.0254)*$C20</f>
        <v>5516.7500000000009</v>
      </c>
      <c r="AA41" s="469">
        <v>4814.9817322834651</v>
      </c>
      <c r="AB41" s="469">
        <v>6813.2517322834647</v>
      </c>
      <c r="AC41" s="491" t="str">
        <f>IF($Z41&lt;$AA41,$AA41-$Z41,"Pass")</f>
        <v>Pass</v>
      </c>
      <c r="AD41" s="492" t="str">
        <f>IF($Z41&gt;$AB41,$Z41-$AB41,"Pass")</f>
        <v>Pass</v>
      </c>
      <c r="AE41" s="2"/>
      <c r="AF41" s="2"/>
      <c r="AG41" s="2"/>
      <c r="AH41" s="2"/>
      <c r="AI41" s="2"/>
      <c r="AJ41" s="2"/>
      <c r="AK41" s="161" t="s">
        <v>73</v>
      </c>
      <c r="AL41" s="504" t="str">
        <f>IF(P41&lt;=IF($B$2="mil",1,0.0254)*1250,"Pass",IF($B$2="mil",1,0.0254)*1250-P41)</f>
        <v>Pass</v>
      </c>
      <c r="AM41" s="473" t="e">
        <f ca="1">CheckLength2(IF($B$2="mil",1,0.0254)*1450,P41,Q41,0)</f>
        <v>#NAME?</v>
      </c>
      <c r="AN41" s="473" t="e">
        <f ca="1">CheckLength2(IF($B$2="mil",1,0.0254)*1450,P41,R41,0)</f>
        <v>#NAME?</v>
      </c>
      <c r="AO41" s="473" t="str">
        <f>IF(AND(S41&gt;=IF($B$2="mil",1,0.0254)*500, $S41&lt;=IF($B$2="mil",1,0.0254)*6500),"Pass",IF($B$2="mil",1,0.0254)*6500-$S41)</f>
        <v>Pass</v>
      </c>
      <c r="AP41" s="504" t="str">
        <f>IF(AND($T41&gt;=IF($B$2="mil",1,0.0254)*500, $T41&lt;=IF($B$2="mil",1,0.0254)*7000),"Pass",IF($B$2="mil",1,0.0254)*7000-$T41)</f>
        <v>Pass</v>
      </c>
      <c r="AQ41" s="473" t="str">
        <f>IF(AND($Y41&gt;=IF($B$2="mil",1,0.0254)*500, $Y41&lt;=IF($B$2="mil",1,0.0254)*6500),"Pass",IF($B$2="mil",1,0.0254)*6500-$Y41)</f>
        <v>Pass</v>
      </c>
      <c r="AR41" s="474" t="str">
        <f>IF(AND($Z41&gt;=IF($B$2="mil",1,0.0254)*500, $Z41&lt;=IF($B$2="mil",1,0.0254)*7000),"Pass",IF($B$2="mil",1,0.0254)*7000-$Z41)</f>
        <v>Pass</v>
      </c>
      <c r="AS41" s="4" t="e">
        <f ca="1">IF(AND(W41="Pass",X41="Pass", AC41="Pass", AD41="Pass", AN41="Pass", AL41="Pass",AM41="Pass",AO41="Pass",AP41="Pass",AQ41="Pass",AR41="Pass"),"Pass","Fail")</f>
        <v>#NAME?</v>
      </c>
      <c r="AT41" t="e">
        <f ca="1">IF(AND(AS41="Pass", AS42="Pass", AS43="Pass"),"Pass","Fail")</f>
        <v>#NAME?</v>
      </c>
      <c r="AU41" s="4"/>
    </row>
    <row r="42" spans="14:47" ht="12" customHeight="1" x14ac:dyDescent="0.2">
      <c r="N42" s="214" t="s">
        <v>75</v>
      </c>
      <c r="O42" s="217"/>
      <c r="P42">
        <v>674.02</v>
      </c>
      <c r="Q42">
        <v>116.96</v>
      </c>
      <c r="R42">
        <v>180.68</v>
      </c>
      <c r="S42" s="490">
        <f>SUM($E21:$G21,$L21,$P42,$P35,$Q42)</f>
        <v>5004.2100000000009</v>
      </c>
      <c r="T42" s="479">
        <f>$S42+IF($B$2="mil",1,0.0254)*$C21</f>
        <v>5384.2100000000009</v>
      </c>
      <c r="U42" s="469">
        <v>4836.7017322834654</v>
      </c>
      <c r="V42" s="492">
        <v>6832.9417322834652</v>
      </c>
      <c r="W42" s="491" t="str">
        <f>IF($T42&lt;$U42,$U42-$T42,"Pass")</f>
        <v>Pass</v>
      </c>
      <c r="X42" s="492" t="str">
        <f>IF($T42&gt;$V42,$T42-$V42,"Pass")</f>
        <v>Pass</v>
      </c>
      <c r="Y42" s="490">
        <f>SUM($E21:$G21,$L21,$P42,$P35,$R42)</f>
        <v>5067.9300000000012</v>
      </c>
      <c r="Z42" s="479">
        <f>$Y42+IF($B$2="mil",1,0.0254)*$C21</f>
        <v>5447.9300000000012</v>
      </c>
      <c r="AA42" s="469">
        <v>4814.9817322834651</v>
      </c>
      <c r="AB42" s="469">
        <v>6813.2517322834647</v>
      </c>
      <c r="AC42" s="491" t="str">
        <f>IF($Z42&lt;$AA42,$AA42-$Z42,"Pass")</f>
        <v>Pass</v>
      </c>
      <c r="AD42" s="492" t="str">
        <f>IF($Z42&gt;$AB42,$Z42-$AB42,"Pass")</f>
        <v>Pass</v>
      </c>
      <c r="AE42" s="2"/>
      <c r="AF42" s="2"/>
      <c r="AG42" s="2"/>
      <c r="AH42" s="2"/>
      <c r="AI42" s="2"/>
      <c r="AJ42" s="2"/>
      <c r="AK42" s="214" t="s">
        <v>75</v>
      </c>
      <c r="AL42" s="504" t="str">
        <f>IF(P42&lt;=IF($B$2="mil",1,0.0254)*1250,"Pass",IF($B$2="mil",1,0.0254)*1250-P42)</f>
        <v>Pass</v>
      </c>
      <c r="AM42" s="473" t="e">
        <f ca="1">CheckLength2(IF($B$2="mil",1,0.0254)*1450,P42,Q42,0)</f>
        <v>#NAME?</v>
      </c>
      <c r="AN42" s="473" t="e">
        <f ca="1">CheckLength2(IF($B$2="mil",1,0.0254)*1450,P42,R42,0)</f>
        <v>#NAME?</v>
      </c>
      <c r="AO42" s="473" t="str">
        <f>IF(AND(S42&gt;=IF($B$2="mil",1,0.0254)*500, $S42&lt;=IF($B$2="mil",1,0.0254)*6500),"Pass",IF($B$2="mil",1,0.0254)*6500-$S42)</f>
        <v>Pass</v>
      </c>
      <c r="AP42" s="504" t="str">
        <f>IF(AND($T42&gt;=IF($B$2="mil",1,0.0254)*500, $T42&lt;=IF($B$2="mil",1,0.0254)*7000),"Pass",IF($B$2="mil",1,0.0254)*7000-$T42)</f>
        <v>Pass</v>
      </c>
      <c r="AQ42" s="473" t="str">
        <f>IF(AND($Y42&gt;=IF($B$2="mil",1,0.0254)*500, $Y42&lt;=IF($B$2="mil",1,0.0254)*6500),"Pass",IF($B$2="mil",1,0.0254)*6500-$Y42)</f>
        <v>Pass</v>
      </c>
      <c r="AR42" s="474" t="str">
        <f>IF(AND($Z42&gt;=IF($B$2="mil",1,0.0254)*500, $Z42&lt;=IF($B$2="mil",1,0.0254)*7000),"Pass",IF($B$2="mil",1,0.0254)*7000-$Z42)</f>
        <v>Pass</v>
      </c>
      <c r="AS42" s="4" t="e">
        <f ca="1">IF(AND(W42="Pass",X42="Pass", AC42="Pass", AD42="Pass", AN42="Pass", AL42="Pass",AM42="Pass",AO42="Pass",AP42="Pass",AQ42="Pass",AR42="Pass"),"Pass","Fail")</f>
        <v>#NAME?</v>
      </c>
      <c r="AU42" s="4"/>
    </row>
    <row r="43" spans="14:47" ht="12" customHeight="1" x14ac:dyDescent="0.2">
      <c r="N43" s="214" t="s">
        <v>77</v>
      </c>
      <c r="O43" s="217"/>
      <c r="P43">
        <v>674.02</v>
      </c>
      <c r="Q43">
        <v>121.68</v>
      </c>
      <c r="R43">
        <v>178.07</v>
      </c>
      <c r="S43" s="490">
        <f>SUM($E22:$G22,$L22,$P43,$P36,$Q43)</f>
        <v>4960.17</v>
      </c>
      <c r="T43" s="479">
        <f>$S43+IF($B$2="mil",1,0.0254)*$C22</f>
        <v>5386.17</v>
      </c>
      <c r="U43" s="469">
        <v>4836.7017322834654</v>
      </c>
      <c r="V43" s="492">
        <v>6832.9417322834652</v>
      </c>
      <c r="W43" s="491" t="str">
        <f>IF($T43&lt;$U43,$U43-$T43,"Pass")</f>
        <v>Pass</v>
      </c>
      <c r="X43" s="492" t="str">
        <f>IF($T43&gt;$V43,$T43-$V43,"Pass")</f>
        <v>Pass</v>
      </c>
      <c r="Y43" s="490">
        <f>SUM($E22:$G22,$L22,$P43,$P36,$R43)</f>
        <v>5016.5599999999995</v>
      </c>
      <c r="Z43" s="479">
        <f>$Y43+IF($B$2="mil",1,0.0254)*$C22</f>
        <v>5442.5599999999995</v>
      </c>
      <c r="AA43" s="469">
        <v>4814.9817322834651</v>
      </c>
      <c r="AB43" s="469">
        <v>6813.2517322834647</v>
      </c>
      <c r="AC43" s="491" t="str">
        <f>IF($Z43&lt;$AA43,$AA43-$Z43,"Pass")</f>
        <v>Pass</v>
      </c>
      <c r="AD43" s="492" t="str">
        <f>IF($Z43&gt;$AB43,$Z43-$AB43,"Pass")</f>
        <v>Pass</v>
      </c>
      <c r="AE43" s="2"/>
      <c r="AF43" s="2"/>
      <c r="AG43" s="2"/>
      <c r="AH43" s="2"/>
      <c r="AI43" s="2"/>
      <c r="AJ43" s="2"/>
      <c r="AK43" s="214" t="s">
        <v>77</v>
      </c>
      <c r="AL43" s="504" t="str">
        <f>IF(P43&lt;=IF($B$2="mil",1,0.0254)*1250,"Pass",IF($B$2="mil",1,0.0254)*1250-P43)</f>
        <v>Pass</v>
      </c>
      <c r="AM43" s="473" t="e">
        <f ca="1">CheckLength2(IF($B$2="mil",1,0.0254)*1450,P43,Q43,0)</f>
        <v>#NAME?</v>
      </c>
      <c r="AN43" s="473" t="e">
        <f ca="1">CheckLength2(IF($B$2="mil",1,0.0254)*1450,P43,R43,0)</f>
        <v>#NAME?</v>
      </c>
      <c r="AO43" s="473" t="str">
        <f>IF(AND(S43&gt;=IF($B$2="mil",1,0.0254)*500, $S43&lt;=IF($B$2="mil",1,0.0254)*6500),"Pass",IF($B$2="mil",1,0.0254)*6500-$S43)</f>
        <v>Pass</v>
      </c>
      <c r="AP43" s="504" t="str">
        <f>IF(AND($T43&gt;=IF($B$2="mil",1,0.0254)*500, $T43&lt;=IF($B$2="mil",1,0.0254)*7000),"Pass",IF($B$2="mil",1,0.0254)*7000-$T43)</f>
        <v>Pass</v>
      </c>
      <c r="AQ43" s="473" t="str">
        <f>IF(AND($Y43&gt;=IF($B$2="mil",1,0.0254)*500, $Y43&lt;=IF($B$2="mil",1,0.0254)*6500),"Pass",IF($B$2="mil",1,0.0254)*6500-$Y43)</f>
        <v>Pass</v>
      </c>
      <c r="AR43" s="474" t="str">
        <f>IF(AND($Z43&gt;=IF($B$2="mil",1,0.0254)*500, $Z43&lt;=IF($B$2="mil",1,0.0254)*7000),"Pass",IF($B$2="mil",1,0.0254)*7000-$Z43)</f>
        <v>Pass</v>
      </c>
      <c r="AS43" s="4" t="e">
        <f ca="1">IF(AND(W43="Pass",X43="Pass", AC43="Pass", AD43="Pass", AN43="Pass", AL43="Pass",AM43="Pass",AO43="Pass",AP43="Pass",AQ43="Pass",AR43="Pass"),"Pass","Fail")</f>
        <v>#NAME?</v>
      </c>
      <c r="AU43" s="2"/>
    </row>
    <row r="44" spans="14:47" x14ac:dyDescent="0.2">
      <c r="V44" s="1"/>
    </row>
    <row r="45" spans="14:47" x14ac:dyDescent="0.2">
      <c r="V45" s="1"/>
    </row>
    <row r="46" spans="14:47" x14ac:dyDescent="0.2">
      <c r="V46" s="1"/>
    </row>
    <row r="47" spans="14:47" x14ac:dyDescent="0.2">
      <c r="V47" s="1"/>
    </row>
    <row r="48" spans="14:47" x14ac:dyDescent="0.2">
      <c r="V48" s="1"/>
    </row>
    <row r="49" spans="4:22" x14ac:dyDescent="0.2">
      <c r="V49" s="1"/>
    </row>
    <row r="50" spans="4:22" x14ac:dyDescent="0.2">
      <c r="V50" s="1"/>
    </row>
    <row r="51" spans="4:22" x14ac:dyDescent="0.2">
      <c r="V51" s="1"/>
    </row>
    <row r="52" spans="4:22" x14ac:dyDescent="0.2">
      <c r="V52" s="1"/>
    </row>
    <row r="53" spans="4:22" x14ac:dyDescent="0.2">
      <c r="V53" s="1"/>
    </row>
    <row r="54" spans="4:22" x14ac:dyDescent="0.2">
      <c r="E54" s="3"/>
      <c r="F54" s="598" t="s">
        <v>623</v>
      </c>
      <c r="G54" s="599" t="s">
        <v>624</v>
      </c>
      <c r="I54" s="4"/>
      <c r="V54" s="1"/>
    </row>
    <row r="55" spans="4:22" x14ac:dyDescent="0.2">
      <c r="E55" s="3"/>
      <c r="F55" s="2"/>
      <c r="G55" s="22"/>
      <c r="H55" s="22"/>
      <c r="I55" s="4"/>
      <c r="V55" s="1"/>
    </row>
    <row r="56" spans="4:22" x14ac:dyDescent="0.2">
      <c r="D56" s="334" t="s">
        <v>625</v>
      </c>
      <c r="E56" s="600" t="s">
        <v>626</v>
      </c>
      <c r="F56" s="600" t="s">
        <v>293</v>
      </c>
      <c r="G56" s="601" t="s">
        <v>299</v>
      </c>
      <c r="H56" s="601" t="s">
        <v>627</v>
      </c>
      <c r="I56" s="336" t="s">
        <v>625</v>
      </c>
      <c r="T56" s="1"/>
    </row>
    <row r="57" spans="4:22" x14ac:dyDescent="0.2">
      <c r="D57" s="334" t="s">
        <v>625</v>
      </c>
      <c r="E57" s="600" t="s">
        <v>628</v>
      </c>
      <c r="F57" s="600" t="s">
        <v>294</v>
      </c>
      <c r="G57" s="601" t="s">
        <v>300</v>
      </c>
      <c r="H57" s="601" t="s">
        <v>629</v>
      </c>
      <c r="I57" s="336" t="s">
        <v>625</v>
      </c>
      <c r="T57" s="1"/>
    </row>
    <row r="58" spans="4:22" x14ac:dyDescent="0.2">
      <c r="D58" s="334" t="s">
        <v>630</v>
      </c>
      <c r="E58" s="600" t="s">
        <v>631</v>
      </c>
      <c r="F58" s="600" t="s">
        <v>296</v>
      </c>
      <c r="G58" s="601" t="s">
        <v>301</v>
      </c>
      <c r="H58" s="601" t="s">
        <v>632</v>
      </c>
      <c r="I58" s="336" t="s">
        <v>630</v>
      </c>
      <c r="T58" s="1"/>
    </row>
    <row r="59" spans="4:22" x14ac:dyDescent="0.2">
      <c r="D59" s="334" t="s">
        <v>630</v>
      </c>
      <c r="E59" s="600" t="s">
        <v>633</v>
      </c>
      <c r="F59" s="600" t="s">
        <v>295</v>
      </c>
      <c r="G59" s="601" t="s">
        <v>302</v>
      </c>
      <c r="H59" s="601" t="s">
        <v>634</v>
      </c>
      <c r="I59" s="336" t="s">
        <v>630</v>
      </c>
      <c r="T59" s="1"/>
    </row>
  </sheetData>
  <protectedRanges>
    <protectedRange sqref="K10:K11 K7:K8 K13:K14 D7:I8 D10:I11 D13:I14" name="DDR2Control_1"/>
    <protectedRange sqref="Q27:R29 P34:R36 P41:R43 I20:I22" name="DDR2_COMMAND_8LTB"/>
    <protectedRange sqref="E20:G22" name="DDR2Control_1_1"/>
    <protectedRange sqref="J20:J22" name="DDR2Control_1_2"/>
    <protectedRange sqref="L20:M22" name="DDR2Control_1_3"/>
    <protectedRange sqref="O20:P22" name="DDR2Control_1_5"/>
  </protectedRanges>
  <mergeCells count="2">
    <mergeCell ref="A1:E1"/>
    <mergeCell ref="F1:G1"/>
  </mergeCells>
  <phoneticPr fontId="25" type="noConversion"/>
  <conditionalFormatting sqref="A1 F1:AA1">
    <cfRule type="expression" dxfId="90" priority="5" stopIfTrue="1">
      <formula>$F$1 = "Fail"</formula>
    </cfRule>
    <cfRule type="expression" dxfId="89" priority="6" stopIfTrue="1">
      <formula>$F$1 = "Pass"</formula>
    </cfRule>
  </conditionalFormatting>
  <conditionalFormatting sqref="R7:S8 U7:Z8 R10:S11 U10:Z11 R13:S14 U13:Z14 V20:W22 AB20:AC22 AE20:AR22 W27:X29 AC27:AD29 AM27:AR29 W34:X36 AC34:AD36 AJ34:AJ36 AM34:AR36 W41:X43 AC41:AD43 AL41:AR43">
    <cfRule type="cellIs" priority="1" stopIfTrue="1" operator="equal">
      <formula>"Pass"</formula>
    </cfRule>
    <cfRule type="cellIs" dxfId="88" priority="2" stopIfTrue="1" operator="notEqual">
      <formula>"Pass"</formula>
    </cfRule>
  </conditionalFormatting>
  <conditionalFormatting sqref="T7:T8 T10:T11 T13:T14 AD20:AD22">
    <cfRule type="cellIs" dxfId="87" priority="3" stopIfTrue="1" operator="equal">
      <formula>"Pass"</formula>
    </cfRule>
    <cfRule type="cellIs" dxfId="86" priority="4" stopIfTrue="1" operator="notEqual">
      <formula>"Pass"</formula>
    </cfRule>
  </conditionalFormatting>
  <pageMargins left="0.75" right="0.75" top="1" bottom="1" header="0.5" footer="0.5"/>
  <pageSetup paperSize="9" orientation="portrait" verticalDpi="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Visio.Drawing.11" shapeId="30722" r:id="rId4">
          <objectPr defaultSize="0" autoPict="0" r:id="rId5">
            <anchor moveWithCells="1">
              <from>
                <xdr:col>0</xdr:col>
                <xdr:colOff>295275</xdr:colOff>
                <xdr:row>29</xdr:row>
                <xdr:rowOff>514350</xdr:rowOff>
              </from>
              <to>
                <xdr:col>11</xdr:col>
                <xdr:colOff>781050</xdr:colOff>
                <xdr:row>51</xdr:row>
                <xdr:rowOff>57150</xdr:rowOff>
              </to>
            </anchor>
          </objectPr>
        </oleObject>
      </mc:Choice>
      <mc:Fallback>
        <oleObject progId="Visio.Drawing.11" shapeId="30722" r:id="rId4"/>
      </mc:Fallback>
    </mc:AlternateContent>
    <mc:AlternateContent xmlns:mc="http://schemas.openxmlformats.org/markup-compatibility/2006">
      <mc:Choice Requires="x14">
        <oleObject progId="Visio.Drawing.11" shapeId="30723" r:id="rId6">
          <objectPr defaultSize="0" autoPict="0" r:id="rId7">
            <anchor moveWithCells="1">
              <from>
                <xdr:col>0</xdr:col>
                <xdr:colOff>257175</xdr:colOff>
                <xdr:row>22</xdr:row>
                <xdr:rowOff>161925</xdr:rowOff>
              </from>
              <to>
                <xdr:col>11</xdr:col>
                <xdr:colOff>238125</xdr:colOff>
                <xdr:row>29</xdr:row>
                <xdr:rowOff>342900</xdr:rowOff>
              </to>
            </anchor>
          </objectPr>
        </oleObject>
      </mc:Choice>
      <mc:Fallback>
        <oleObject progId="Visio.Drawing.11" shapeId="30723" r:id="rId6"/>
      </mc:Fallback>
    </mc:AlternateContent>
  </oleObjects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7"/>
  <dimension ref="A1:AZ104"/>
  <sheetViews>
    <sheetView zoomScale="75" workbookViewId="0">
      <selection activeCell="AS27" sqref="AS27"/>
    </sheetView>
  </sheetViews>
  <sheetFormatPr defaultRowHeight="12.75" x14ac:dyDescent="0.2"/>
  <cols>
    <col min="1" max="1" width="26" bestFit="1" customWidth="1"/>
    <col min="2" max="2" width="7.140625" bestFit="1" customWidth="1"/>
    <col min="3" max="3" width="8.7109375" bestFit="1" customWidth="1"/>
    <col min="4" max="4" width="1" customWidth="1"/>
    <col min="5" max="5" width="10" bestFit="1" customWidth="1"/>
    <col min="6" max="6" width="9.7109375" bestFit="1" customWidth="1"/>
    <col min="7" max="7" width="10" bestFit="1" customWidth="1"/>
    <col min="8" max="8" width="26.42578125" bestFit="1" customWidth="1"/>
    <col min="9" max="9" width="1" customWidth="1"/>
    <col min="10" max="10" width="13.85546875" bestFit="1" customWidth="1"/>
    <col min="11" max="11" width="10" bestFit="1" customWidth="1"/>
    <col min="12" max="12" width="1" customWidth="1"/>
    <col min="13" max="13" width="17.140625" bestFit="1" customWidth="1"/>
    <col min="14" max="14" width="23" bestFit="1" customWidth="1"/>
    <col min="15" max="15" width="1" customWidth="1"/>
    <col min="16" max="16" width="18.42578125" bestFit="1" customWidth="1"/>
    <col min="17" max="17" width="13.7109375" customWidth="1"/>
    <col min="18" max="19" width="25.140625" customWidth="1"/>
    <col min="20" max="20" width="14.5703125" bestFit="1" customWidth="1"/>
    <col min="21" max="21" width="16.28515625" bestFit="1" customWidth="1"/>
    <col min="22" max="22" width="22.85546875" style="1" customWidth="1"/>
    <col min="23" max="23" width="28.28515625" customWidth="1"/>
    <col min="24" max="24" width="17.140625" customWidth="1"/>
    <col min="25" max="25" width="14.5703125" customWidth="1"/>
    <col min="26" max="26" width="16.140625" customWidth="1"/>
    <col min="27" max="27" width="12" customWidth="1"/>
    <col min="28" max="28" width="21.5703125" customWidth="1"/>
    <col min="29" max="29" width="23.7109375" customWidth="1"/>
    <col min="30" max="30" width="17.85546875" customWidth="1"/>
    <col min="31" max="31" width="13.28515625" customWidth="1"/>
    <col min="32" max="32" width="12.140625" customWidth="1"/>
    <col min="33" max="33" width="25.140625" customWidth="1"/>
    <col min="34" max="34" width="15.140625" customWidth="1"/>
    <col min="35" max="35" width="25.140625" customWidth="1"/>
    <col min="36" max="36" width="14.5703125" customWidth="1"/>
    <col min="37" max="37" width="25.140625" customWidth="1"/>
    <col min="38" max="38" width="15.7109375" customWidth="1"/>
    <col min="39" max="39" width="16.140625" customWidth="1"/>
    <col min="40" max="40" width="22.140625" customWidth="1"/>
    <col min="41" max="41" width="19.28515625" customWidth="1"/>
    <col min="42" max="42" width="18.28515625" customWidth="1"/>
    <col min="43" max="43" width="16" customWidth="1"/>
    <col min="44" max="44" width="18.28515625" customWidth="1"/>
    <col min="45" max="45" width="16.85546875" customWidth="1"/>
    <col min="46" max="46" width="18.28515625" customWidth="1"/>
    <col min="47" max="47" width="21.5703125" customWidth="1"/>
    <col min="48" max="48" width="22.5703125" customWidth="1"/>
    <col min="49" max="49" width="24" customWidth="1"/>
    <col min="50" max="50" width="22.42578125" customWidth="1"/>
  </cols>
  <sheetData>
    <row r="1" spans="1:52" s="2" customFormat="1" ht="26.25" x14ac:dyDescent="0.2">
      <c r="A1" s="1004" t="s">
        <v>68</v>
      </c>
      <c r="B1" s="1005"/>
      <c r="C1" s="1005"/>
      <c r="D1" s="1005"/>
      <c r="E1" s="1005"/>
      <c r="F1" s="1006" t="e">
        <f ca="1">IF(AND(AZ7="Pass",AZ26="Pass",AZ20="Pass",AZ33="Pass",AZ39="Pass",AZ46="Pass",AZ52="Pass",AZ59="Pass",AZ65="Pass"),"Pass","Fail")</f>
        <v>#REF!</v>
      </c>
      <c r="G1" s="1006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383"/>
      <c r="W1" s="52"/>
      <c r="X1" s="52"/>
      <c r="Y1" s="52"/>
      <c r="Z1" s="53"/>
    </row>
    <row r="2" spans="1:52" s="82" customFormat="1" x14ac:dyDescent="0.2">
      <c r="A2" s="219" t="s">
        <v>58</v>
      </c>
      <c r="B2" s="268" t="e">
        <f>'DDR2 Clocks - 4L'!B2</f>
        <v>#REF!</v>
      </c>
      <c r="C2" s="83"/>
      <c r="D2" s="83"/>
      <c r="E2" s="83"/>
      <c r="F2" s="122"/>
      <c r="G2" s="122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384"/>
      <c r="W2" s="84"/>
      <c r="X2" s="84"/>
      <c r="Y2" s="84"/>
      <c r="Z2" s="220"/>
    </row>
    <row r="3" spans="1:52" s="133" customFormat="1" ht="22.5" x14ac:dyDescent="0.2">
      <c r="A3" s="221" t="s">
        <v>494</v>
      </c>
      <c r="B3" s="123" t="s">
        <v>457</v>
      </c>
      <c r="C3" s="124" t="s">
        <v>70</v>
      </c>
      <c r="D3" s="125"/>
      <c r="E3" s="126" t="e">
        <f>"Escape
Length L0
 ["&amp;$B$2&amp;"]"</f>
        <v>#REF!</v>
      </c>
      <c r="F3" s="126" t="e">
        <f>"Breakout
Length L1
["&amp; $B$2&amp;"]"</f>
        <v>#REF!</v>
      </c>
      <c r="G3" s="126" t="e">
        <f>"Main
Length L2
[" &amp;$B$2&amp; " ]"</f>
        <v>#REF!</v>
      </c>
      <c r="H3" s="126" t="e">
        <f>"Breakin
Length S1  
[" &amp;$B$2&amp;"]"</f>
        <v>#REF!</v>
      </c>
      <c r="I3" s="129"/>
      <c r="J3" s="130" t="e">
        <f>"Via-to-via (SODIMM-to-Rt) L3 [" &amp;$B$2&amp;"]"</f>
        <v>#REF!</v>
      </c>
      <c r="K3" s="130" t="e">
        <f>"Via-to-Rt 
L4 [" &amp;$B$2&amp;"]"</f>
        <v>#REF!</v>
      </c>
      <c r="L3" s="129"/>
      <c r="M3" s="128" t="e">
        <f>"Total MB Length
(L0+L1+L2+S1)
[" &amp;$B$2&amp;"]"</f>
        <v>#REF!</v>
      </c>
      <c r="N3" s="129" t="e">
        <f>"Total Pad-to-Pin Length (P1+L0+L1+L2+S1)
[" &amp;$B$2&amp;"]"</f>
        <v>#REF!</v>
      </c>
      <c r="O3" s="130"/>
      <c r="P3" s="130" t="e">
        <f>"Target Min Length 
["&amp;$B$2&amp;"]"</f>
        <v>#REF!</v>
      </c>
      <c r="Q3" s="129" t="e">
        <f>"Target Max Length 
["&amp;$B$2&amp;"]"</f>
        <v>#REF!</v>
      </c>
      <c r="R3" s="131" t="e">
        <f>"Routed Too Short [" &amp;$B$2&amp;"]"</f>
        <v>#REF!</v>
      </c>
      <c r="S3" s="130" t="e">
        <f>"Routed Too Long [" &amp;$B$2&amp;"]"</f>
        <v>#REF!</v>
      </c>
      <c r="T3" s="132" t="e">
        <f>"L0 Length Test (&lt;=" &amp; IF($B$2="mil",1,0.0254)*50&amp;$B$2&amp;")"</f>
        <v>#REF!</v>
      </c>
      <c r="U3" s="132" t="e">
        <f>"L1 Length Test (&lt;=" &amp; IF($B$2="mil",1,0.0254)*500&amp;$B$2&amp;")"</f>
        <v>#REF!</v>
      </c>
      <c r="V3" s="132" t="e">
        <f>"S1 Length test (&lt;=" &amp; IF($B$2="mil",1,0.0254)*200 &amp;$B$2&amp;")"</f>
        <v>#REF!</v>
      </c>
      <c r="W3" s="129" t="e">
        <f>"Total Length    (L0+L1+L2+S1) Test
 ("&amp;IF($B$2="mil",1,0.0254)*500&amp;"-"&amp;IF($B$2="mil",1,0.0254)*3500&amp;IF($B$2="mil","mil","mm")&amp;")"</f>
        <v>#REF!</v>
      </c>
      <c r="X3" s="129" t="e">
        <f>"Total Length    (P1+L0+L1+L2+S1) Test
 (&lt;="&amp;IF($B$2="mil",1,25.4)*4000&amp;IF($B$2="mil","mil","mm")&amp;")"</f>
        <v>#REF!</v>
      </c>
      <c r="Y3" s="129" t="e">
        <f>"L3 Length Test (&lt;="&amp;IF($B$2="mil",1,0.0254)*1300&amp;$B$2&amp; ")"</f>
        <v>#REF!</v>
      </c>
      <c r="Z3" s="129" t="e">
        <f>"L4 Length Test (&lt;=" &amp; IF($B$2="mil",1,0.0254)*200&amp;$B$2&amp;") or (L3+L4&lt;= "&amp;IF($B$2="mil",1,0.0254)*1500&amp;$B$2&amp;")"</f>
        <v>#REF!</v>
      </c>
    </row>
    <row r="4" spans="1:52" s="4" customFormat="1" ht="11.25" x14ac:dyDescent="0.2">
      <c r="A4" s="222" t="s">
        <v>259</v>
      </c>
      <c r="B4" s="134"/>
      <c r="C4" s="134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6"/>
      <c r="O4" s="135"/>
      <c r="P4" s="135"/>
      <c r="Q4" s="135"/>
      <c r="R4" s="135"/>
      <c r="S4" s="135"/>
      <c r="T4" s="135"/>
      <c r="U4" s="135"/>
      <c r="V4" s="385"/>
      <c r="W4" s="135"/>
      <c r="X4" s="135"/>
      <c r="Y4" s="137"/>
      <c r="Z4" s="243"/>
      <c r="AA4" s="138"/>
      <c r="AB4" s="139"/>
      <c r="AC4" s="139"/>
    </row>
    <row r="5" spans="1:52" s="4" customFormat="1" ht="11.25" x14ac:dyDescent="0.2">
      <c r="A5" s="223" t="s">
        <v>263</v>
      </c>
      <c r="B5" s="141"/>
      <c r="C5" s="141"/>
      <c r="D5" s="142"/>
      <c r="E5" s="143"/>
      <c r="F5" s="143"/>
      <c r="G5" s="143"/>
      <c r="H5" s="143"/>
      <c r="I5" s="144"/>
      <c r="J5" s="144"/>
      <c r="K5" s="143"/>
      <c r="L5" s="144"/>
      <c r="M5" s="143"/>
      <c r="N5" s="145"/>
      <c r="O5" s="142"/>
      <c r="P5" s="481" t="e">
        <f>MIN('DDR2 Clocks - 4L'!$O$22:$O$25)</f>
        <v>#REF!</v>
      </c>
      <c r="Q5" s="481" t="e">
        <f>MAX('DDR2 Clocks - 4L'!$O$22:$O$25)</f>
        <v>#REF!</v>
      </c>
      <c r="R5" s="145"/>
      <c r="S5" s="145"/>
      <c r="T5" s="145"/>
      <c r="U5" s="482"/>
      <c r="V5" s="483"/>
      <c r="W5" s="483"/>
      <c r="X5" s="483"/>
      <c r="Y5" s="484"/>
      <c r="Z5" s="484"/>
      <c r="AB5" s="21"/>
      <c r="AC5" s="21"/>
    </row>
    <row r="6" spans="1:52" s="4" customFormat="1" ht="11.25" x14ac:dyDescent="0.2">
      <c r="A6" s="134" t="s">
        <v>260</v>
      </c>
      <c r="B6" s="134"/>
      <c r="C6" s="134"/>
      <c r="D6" s="155"/>
      <c r="E6" s="156"/>
      <c r="F6" s="156"/>
      <c r="G6" s="156"/>
      <c r="H6" s="156"/>
      <c r="I6" s="156"/>
      <c r="J6" s="157"/>
      <c r="K6" s="157"/>
      <c r="L6" s="156"/>
      <c r="M6" s="156"/>
      <c r="N6" s="156"/>
      <c r="O6" s="155"/>
      <c r="P6" s="155"/>
      <c r="Q6" s="476"/>
      <c r="R6" s="155"/>
      <c r="S6" s="155"/>
      <c r="T6" s="155"/>
      <c r="U6" s="155"/>
      <c r="V6" s="385"/>
      <c r="W6" s="155"/>
      <c r="X6" s="155"/>
      <c r="Y6" s="155"/>
      <c r="Z6" s="478"/>
    </row>
    <row r="7" spans="1:52" s="4" customFormat="1" x14ac:dyDescent="0.2">
      <c r="A7" s="503" t="s">
        <v>80</v>
      </c>
      <c r="B7" s="573" t="s">
        <v>388</v>
      </c>
      <c r="C7" s="562">
        <v>468.42519685039372</v>
      </c>
      <c r="D7" s="200"/>
      <c r="E7" s="165">
        <v>29.7</v>
      </c>
      <c r="F7" s="165">
        <v>0</v>
      </c>
      <c r="G7" s="270">
        <v>1274.82</v>
      </c>
      <c r="H7" s="270">
        <v>108.78</v>
      </c>
      <c r="I7" s="179"/>
      <c r="J7" s="276">
        <v>0</v>
      </c>
      <c r="K7" s="271">
        <v>47.6</v>
      </c>
      <c r="L7" s="168"/>
      <c r="M7" s="467">
        <f xml:space="preserve"> E7+F7+G7+H7</f>
        <v>1413.3</v>
      </c>
      <c r="N7" s="467" t="e">
        <f>IF($B$2="mil",1,0.0254)*C7+ M7</f>
        <v>#REF!</v>
      </c>
      <c r="O7" s="468"/>
      <c r="P7" s="469" t="e">
        <f>MAX($P$5:$Q$5)+IF($B$2="mil",1,0.0254)*DDR2Specs!$B$9</f>
        <v>#REF!</v>
      </c>
      <c r="Q7" s="469" t="e">
        <f>MIN($P$5:$Q$5)+IF($B$2="mil",1,0.0254)*DDR2Specs!$C$9</f>
        <v>#REF!</v>
      </c>
      <c r="R7" s="470" t="e">
        <f>IF($N7&lt;$P7,$P7-$N7,"Pass")</f>
        <v>#REF!</v>
      </c>
      <c r="S7" s="471" t="e">
        <f>IF($N7&gt;$Q7,$N7-$Q7,"Pass")</f>
        <v>#REF!</v>
      </c>
      <c r="T7" s="472" t="e">
        <f>IF($E7&lt;=IF($B$2="mil",1,0.0254)*50,"Pass",IF($B$2="mil",1,0.0254)*50-$E7)</f>
        <v>#REF!</v>
      </c>
      <c r="U7" s="473" t="e">
        <f>IF($F7&lt;=IF($B$2="mil",1,0.0254)*500,"Pass",IF($B$2="mil",1,0.0254)*500-$F7)</f>
        <v>#REF!</v>
      </c>
      <c r="V7" s="473" t="e">
        <f>IF($H7&lt;=IF($B$2="mil",1,0.0254)*200,"Pass",IF($B$2="mil",1,0.0254)*200-$H7)</f>
        <v>#REF!</v>
      </c>
      <c r="W7" s="473" t="e">
        <f>IF(AND($M7&gt;=IF($B$2="mil",1,0.0254)*500, $M7&lt;=IF($B$2="mil",1,0.0254)*3500),"Pass",IF($B$2="mil",1,0.0254)*3500-$M7)</f>
        <v>#REF!</v>
      </c>
      <c r="X7" s="473" t="e">
        <f>IF(AND($N7&gt;=IF($B$2="mil",1,0.0254)*500, $N7&lt;=IF($B$2="mil",1,0.0254)*4000),"Pass",IF($B$2="mil",1,0.0254)*4000-$N7)</f>
        <v>#REF!</v>
      </c>
      <c r="Y7" s="473" t="e">
        <f>IF((J7&lt;=IF($B$2="mil",1,0.0254)*1300),"Pass",IF($B$2="mil",1,0.0254)*1300-J7)</f>
        <v>#REF!</v>
      </c>
      <c r="Z7" s="474" t="e">
        <f ca="1">CheckLength2(IF($B$2="mil",1,0.0254)*1500,J7,K7,0)</f>
        <v>#NAME?</v>
      </c>
      <c r="AA7" s="350"/>
      <c r="AB7" s="350"/>
      <c r="AC7" s="350"/>
      <c r="AD7" s="350"/>
      <c r="AE7" s="350"/>
      <c r="AF7" s="350"/>
      <c r="AG7" s="350"/>
      <c r="AH7" s="350"/>
      <c r="AI7" s="350"/>
      <c r="AJ7" s="350"/>
      <c r="AK7" s="350"/>
      <c r="AL7" s="350"/>
      <c r="AM7" s="350"/>
      <c r="AN7" s="350"/>
      <c r="AO7" s="350"/>
      <c r="AP7" s="350"/>
      <c r="AQ7" s="350"/>
      <c r="AR7" s="350"/>
      <c r="AS7" s="350"/>
      <c r="AT7" s="350"/>
      <c r="AU7" s="350"/>
      <c r="AV7" s="350"/>
      <c r="AW7" s="350"/>
      <c r="AX7" s="350"/>
      <c r="AY7" s="4" t="e">
        <f ca="1">IF(AND(R7="Pass",S7="Pass",T7="Pass",U7="Pass",V7="Pass",W7="Pass",X7="Pass",Y7="Pass",Z7="Pass"),"Pass","Fail")</f>
        <v>#REF!</v>
      </c>
      <c r="AZ7" s="4" t="e">
        <f ca="1">IF(AND(AY7="Pass",AY8="Pass",AY10="Pass",AY11="Pass",AY13="Pass",AY14="Pass"),"Pass","Fail")</f>
        <v>#REF!</v>
      </c>
    </row>
    <row r="8" spans="1:52" s="4" customFormat="1" x14ac:dyDescent="0.2">
      <c r="A8" s="503" t="s">
        <v>82</v>
      </c>
      <c r="B8" s="573" t="s">
        <v>386</v>
      </c>
      <c r="C8" s="562">
        <v>270.6692913385827</v>
      </c>
      <c r="D8" s="201"/>
      <c r="E8" s="165">
        <v>29.7</v>
      </c>
      <c r="F8" s="165">
        <v>0</v>
      </c>
      <c r="G8" s="270">
        <v>1197.43</v>
      </c>
      <c r="H8" s="270">
        <v>98.82</v>
      </c>
      <c r="I8" s="179"/>
      <c r="J8" s="276">
        <v>0</v>
      </c>
      <c r="K8" s="271">
        <v>73.38</v>
      </c>
      <c r="L8" s="168"/>
      <c r="M8" s="467">
        <f xml:space="preserve"> E8+F8+G8+H8</f>
        <v>1325.95</v>
      </c>
      <c r="N8" s="467" t="e">
        <f>IF($B$2="mil",1,0.0254)*C8+ M8</f>
        <v>#REF!</v>
      </c>
      <c r="O8" s="475"/>
      <c r="P8" s="469" t="e">
        <f>MAX($P$5:$Q$5)+IF($B$2="mil",1,0.0254)*DDR2Specs!$B$9</f>
        <v>#REF!</v>
      </c>
      <c r="Q8" s="469" t="e">
        <f>MIN($P$5:$Q$5)+IF($B$2="mil",1,0.0254)*DDR2Specs!$C$9</f>
        <v>#REF!</v>
      </c>
      <c r="R8" s="470" t="e">
        <f>IF($N8&lt;$P8,$P8-$N8,"Pass")</f>
        <v>#REF!</v>
      </c>
      <c r="S8" s="471" t="e">
        <f>IF($N8&gt;$Q8,$N8-$Q8,"Pass")</f>
        <v>#REF!</v>
      </c>
      <c r="T8" s="472" t="e">
        <f>IF($E8&lt;=IF($B$2="mil",1,0.0254)*50,"Pass",IF($B$2="mil",1,0.0254)*50-$E8)</f>
        <v>#REF!</v>
      </c>
      <c r="U8" s="473" t="e">
        <f>IF($F8&lt;=IF($B$2="mil",1,0.0254)*500,"Pass",IF($B$2="mil",1,0.0254)*500-$F8)</f>
        <v>#REF!</v>
      </c>
      <c r="V8" s="473" t="e">
        <f>IF($H8&lt;=IF($B$2="mil",1,0.0254)*200,"Pass",IF($B$2="mil",1,0.0254)*200-$H8)</f>
        <v>#REF!</v>
      </c>
      <c r="W8" s="473" t="e">
        <f>IF(AND($M8&gt;=IF($B$2="mil",1,0.0254)*500, $M8&lt;=IF($B$2="mil",1,0.0254)*3500),"Pass",IF($B$2="mil",1,0.0254)*3500-$M8)</f>
        <v>#REF!</v>
      </c>
      <c r="X8" s="473" t="e">
        <f>IF(AND($N8&gt;=IF($B$2="mil",1,0.0254)*500, $N8&lt;=IF($B$2="mil",1,0.0254)*4000),"Pass",IF($B$2="mil",1,0.0254)*4000-$N8)</f>
        <v>#REF!</v>
      </c>
      <c r="Y8" s="473" t="e">
        <f>IF((J8&lt;=IF($B$2="mil",1,0.0254)*1300),"Pass",IF($B$2="mil",1,0.0254)*1300-J8)</f>
        <v>#REF!</v>
      </c>
      <c r="Z8" s="474" t="e">
        <f ca="1">CheckLength2(IF($B$2="mil",1,0.0254)*1500,J8,K8,0)</f>
        <v>#NAME?</v>
      </c>
      <c r="AA8" s="350"/>
      <c r="AB8" s="350"/>
      <c r="AC8" s="350"/>
      <c r="AD8" s="350"/>
      <c r="AE8" s="350"/>
      <c r="AF8" s="350"/>
      <c r="AG8" s="350"/>
      <c r="AH8" s="350"/>
      <c r="AI8" s="350"/>
      <c r="AJ8" s="350"/>
      <c r="AK8" s="350"/>
      <c r="AL8" s="350"/>
      <c r="AM8" s="350"/>
      <c r="AN8" s="350"/>
      <c r="AO8" s="350"/>
      <c r="AP8" s="350"/>
      <c r="AQ8" s="350"/>
      <c r="AR8" s="350"/>
      <c r="AS8" s="350"/>
      <c r="AT8" s="350"/>
      <c r="AU8" s="350"/>
      <c r="AV8" s="350"/>
      <c r="AW8" s="350"/>
      <c r="AX8" s="350"/>
      <c r="AY8" s="4" t="e">
        <f ca="1">IF(AND(R8="Pass",S8="Pass",T8="Pass",U8="Pass",V8="Pass",W8="Pass",X8="Pass",Y8="Pass",Z8="Pass"),"Pass","Fail")</f>
        <v>#REF!</v>
      </c>
    </row>
    <row r="9" spans="1:52" s="4" customFormat="1" ht="11.25" x14ac:dyDescent="0.2">
      <c r="A9" s="415" t="s">
        <v>256</v>
      </c>
      <c r="B9" s="134"/>
      <c r="C9" s="566"/>
      <c r="D9" s="134"/>
      <c r="E9" s="134"/>
      <c r="F9" s="134"/>
      <c r="G9" s="134"/>
      <c r="H9" s="134"/>
      <c r="I9" s="134"/>
      <c r="J9" s="134"/>
      <c r="K9" s="134"/>
      <c r="L9" s="134"/>
      <c r="M9" s="134"/>
      <c r="N9" s="249"/>
      <c r="O9" s="155"/>
      <c r="P9" s="155"/>
      <c r="Q9" s="476"/>
      <c r="R9" s="477"/>
      <c r="S9" s="477"/>
      <c r="T9" s="155"/>
      <c r="U9" s="155"/>
      <c r="V9" s="385"/>
      <c r="W9" s="155"/>
      <c r="X9" s="155"/>
      <c r="Y9" s="155"/>
      <c r="Z9" s="478"/>
      <c r="AA9" s="416"/>
      <c r="AB9" s="416"/>
      <c r="AC9" s="416"/>
      <c r="AD9" s="416"/>
      <c r="AE9" s="416"/>
      <c r="AF9" s="416"/>
      <c r="AG9" s="416"/>
      <c r="AH9" s="416"/>
      <c r="AI9" s="416"/>
      <c r="AJ9" s="416"/>
      <c r="AK9" s="416"/>
      <c r="AL9" s="416"/>
      <c r="AM9" s="416"/>
      <c r="AN9" s="416"/>
      <c r="AO9" s="416"/>
      <c r="AP9" s="416"/>
      <c r="AQ9" s="416"/>
      <c r="AR9" s="416"/>
      <c r="AS9" s="416"/>
      <c r="AT9" s="416"/>
      <c r="AU9" s="416"/>
      <c r="AV9" s="416"/>
      <c r="AW9" s="416"/>
      <c r="AX9" s="416"/>
    </row>
    <row r="10" spans="1:52" s="4" customFormat="1" x14ac:dyDescent="0.2">
      <c r="A10" s="503" t="s">
        <v>83</v>
      </c>
      <c r="B10" s="573" t="s">
        <v>133</v>
      </c>
      <c r="C10" s="562">
        <v>361.10236220472444</v>
      </c>
      <c r="D10" s="332"/>
      <c r="E10" s="165">
        <v>29.7</v>
      </c>
      <c r="F10" s="165">
        <v>0</v>
      </c>
      <c r="G10" s="270">
        <v>1240.99</v>
      </c>
      <c r="H10" s="270">
        <v>101.4</v>
      </c>
      <c r="I10" s="212"/>
      <c r="J10" s="276">
        <v>0</v>
      </c>
      <c r="K10" s="271">
        <v>78.7</v>
      </c>
      <c r="L10" s="213"/>
      <c r="M10" s="467">
        <f xml:space="preserve"> E10+F10+G10+H10</f>
        <v>1372.0900000000001</v>
      </c>
      <c r="N10" s="467" t="e">
        <f>IF($B$2="mil",1,0.0254)*C10+ M10</f>
        <v>#REF!</v>
      </c>
      <c r="O10" s="213"/>
      <c r="P10" s="469" t="e">
        <f>MAX($P$5:$Q$5)+IF($B$2="mil",1,0.0254)*DDR2Specs!$B$9</f>
        <v>#REF!</v>
      </c>
      <c r="Q10" s="469" t="e">
        <f>MIN($P$5:$Q$5)+IF($B$2="mil",1,0.0254)*DDR2Specs!$C$9</f>
        <v>#REF!</v>
      </c>
      <c r="R10" s="470" t="e">
        <f>IF($N10&lt;$P10,$P10-$N10,"Pass")</f>
        <v>#REF!</v>
      </c>
      <c r="S10" s="471" t="e">
        <f>IF($N10&gt;$Q10,$N10-$Q10,"Pass")</f>
        <v>#REF!</v>
      </c>
      <c r="T10" s="472" t="e">
        <f>IF($E10&lt;=IF($B$2="mil",1,0.0254)*50,"Pass",IF($B$2="mil",1,0.0254)*50-$E10)</f>
        <v>#REF!</v>
      </c>
      <c r="U10" s="473" t="e">
        <f>IF($F10&lt;=IF($B$2="mil",1,0.0254)*500,"Pass",IF($B$2="mil",1,0.0254)*500-$F10)</f>
        <v>#REF!</v>
      </c>
      <c r="V10" s="473" t="e">
        <f>IF($H10&lt;=IF($B$2="mil",1,0.0254)*200,"Pass",IF($B$2="mil",1,0.0254)*200-$H10)</f>
        <v>#REF!</v>
      </c>
      <c r="W10" s="473" t="e">
        <f>IF(AND($M10&gt;=IF($B$2="mil",1,0.0254)*500, $M10&lt;=IF($B$2="mil",1,0.0254)*3500),"Pass",IF($B$2="mil",1,0.0254)*3500-$M10)</f>
        <v>#REF!</v>
      </c>
      <c r="X10" s="473" t="e">
        <f>IF(AND($N10&gt;=IF($B$2="mil",1,0.0254)*500, $N10&lt;=IF($B$2="mil",1,0.0254)*4000),"Pass",IF($B$2="mil",1,0.0254)*4000-$N10)</f>
        <v>#REF!</v>
      </c>
      <c r="Y10" s="473" t="e">
        <f>IF((J10&lt;=IF($B$2="mil",1,0.0254)*1300),"Pass",IF($B$2="mil",1,0.0254)*1300-J10)</f>
        <v>#REF!</v>
      </c>
      <c r="Z10" s="474" t="e">
        <f ca="1">CheckLength2(IF($B$2="mil",1,0.0254)*1500,J10,K10,0)</f>
        <v>#NAME?</v>
      </c>
      <c r="AA10" s="350"/>
      <c r="AB10" s="350"/>
      <c r="AC10" s="350"/>
      <c r="AD10" s="350"/>
      <c r="AE10" s="350"/>
      <c r="AF10" s="350"/>
      <c r="AG10" s="350"/>
      <c r="AH10" s="350"/>
      <c r="AI10" s="350"/>
      <c r="AJ10" s="350"/>
      <c r="AK10" s="350"/>
      <c r="AL10" s="350"/>
      <c r="AM10" s="350"/>
      <c r="AN10" s="350"/>
      <c r="AO10" s="350"/>
      <c r="AP10" s="350"/>
      <c r="AQ10" s="350"/>
      <c r="AR10" s="350"/>
      <c r="AS10" s="350"/>
      <c r="AT10" s="350"/>
      <c r="AU10" s="350"/>
      <c r="AV10" s="350"/>
      <c r="AW10" s="350"/>
      <c r="AX10" s="350"/>
      <c r="AY10" s="4" t="e">
        <f ca="1">IF(AND(R10="Pass",S10="Pass",T10="Pass",U10="Pass",V10="Pass",W10="Pass",X10="Pass",Y10="Pass",Z10="Pass"),"Pass","Fail")</f>
        <v>#REF!</v>
      </c>
    </row>
    <row r="11" spans="1:52" s="4" customFormat="1" x14ac:dyDescent="0.2">
      <c r="A11" s="503" t="s">
        <v>84</v>
      </c>
      <c r="B11" s="573" t="s">
        <v>381</v>
      </c>
      <c r="C11" s="562">
        <v>365.03937007874021</v>
      </c>
      <c r="D11" s="332"/>
      <c r="E11" s="165">
        <v>29.7</v>
      </c>
      <c r="F11" s="165">
        <v>0</v>
      </c>
      <c r="G11" s="270">
        <v>1310.83</v>
      </c>
      <c r="H11" s="270">
        <v>61.6</v>
      </c>
      <c r="I11" s="212"/>
      <c r="J11" s="276">
        <v>0</v>
      </c>
      <c r="K11" s="271">
        <v>81.19</v>
      </c>
      <c r="L11" s="213"/>
      <c r="M11" s="467">
        <f xml:space="preserve"> E11+F11+G11+H11</f>
        <v>1402.1299999999999</v>
      </c>
      <c r="N11" s="467" t="e">
        <f>IF($B$2="mil",1,0.0254)*C11+ M11</f>
        <v>#REF!</v>
      </c>
      <c r="O11" s="213"/>
      <c r="P11" s="469" t="e">
        <f>MAX($P$5:$Q$5)+IF($B$2="mil",1,0.0254)*DDR2Specs!$B$9</f>
        <v>#REF!</v>
      </c>
      <c r="Q11" s="469" t="e">
        <f>MIN($P$5:$Q$5)+IF($B$2="mil",1,0.0254)*DDR2Specs!$C$9</f>
        <v>#REF!</v>
      </c>
      <c r="R11" s="470" t="e">
        <f>IF($N11&lt;$P11,$P11-$N11,"Pass")</f>
        <v>#REF!</v>
      </c>
      <c r="S11" s="471" t="e">
        <f>IF($N11&gt;$Q11,$N11-$Q11,"Pass")</f>
        <v>#REF!</v>
      </c>
      <c r="T11" s="472" t="e">
        <f>IF($E11&lt;=IF($B$2="mil",1,0.0254)*50,"Pass",IF($B$2="mil",1,0.0254)*50-$E11)</f>
        <v>#REF!</v>
      </c>
      <c r="U11" s="473" t="e">
        <f>IF($F11&lt;=IF($B$2="mil",1,0.0254)*500,"Pass",IF($B$2="mil",1,0.0254)*500-$F11)</f>
        <v>#REF!</v>
      </c>
      <c r="V11" s="473" t="e">
        <f>IF($H11&lt;=IF($B$2="mil",1,0.0254)*200,"Pass",IF($B$2="mil",1,0.0254)*200-$H11)</f>
        <v>#REF!</v>
      </c>
      <c r="W11" s="473" t="e">
        <f>IF(AND($M11&gt;=IF($B$2="mil",1,0.0254)*500, $M11&lt;=IF($B$2="mil",1,0.0254)*3500),"Pass",IF($B$2="mil",1,0.0254)*3500-$M11)</f>
        <v>#REF!</v>
      </c>
      <c r="X11" s="473" t="e">
        <f>IF(AND($N11&gt;=IF($B$2="mil",1,0.0254)*500, $N11&lt;=IF($B$2="mil",1,0.0254)*4000),"Pass",IF($B$2="mil",1,0.0254)*4000-$N11)</f>
        <v>#REF!</v>
      </c>
      <c r="Y11" s="473" t="e">
        <f>IF((J11&lt;=IF($B$2="mil",1,0.0254)*1300),"Pass",IF($B$2="mil",1,0.0254)*1300-J11)</f>
        <v>#REF!</v>
      </c>
      <c r="Z11" s="474" t="e">
        <f ca="1">CheckLength2(IF($B$2="mil",1,0.0254)*1500,J11,K11,0)</f>
        <v>#NAME?</v>
      </c>
      <c r="AA11" s="350"/>
      <c r="AB11" s="350"/>
      <c r="AC11" s="350"/>
      <c r="AD11" s="350"/>
      <c r="AE11" s="350"/>
      <c r="AF11" s="350"/>
      <c r="AG11" s="350"/>
      <c r="AH11" s="350"/>
      <c r="AI11" s="350"/>
      <c r="AJ11" s="350"/>
      <c r="AK11" s="350"/>
      <c r="AL11" s="350"/>
      <c r="AM11" s="350"/>
      <c r="AN11" s="350"/>
      <c r="AO11" s="350"/>
      <c r="AP11" s="350"/>
      <c r="AQ11" s="350"/>
      <c r="AR11" s="350"/>
      <c r="AS11" s="350"/>
      <c r="AT11" s="350"/>
      <c r="AU11" s="350"/>
      <c r="AV11" s="350"/>
      <c r="AW11" s="350"/>
      <c r="AX11" s="350"/>
      <c r="AY11" s="4" t="e">
        <f ca="1">IF(AND(R11="Pass",S11="Pass",T11="Pass",U11="Pass",V11="Pass",W11="Pass",X11="Pass",Y11="Pass",Z11="Pass"),"Pass","Fail")</f>
        <v>#REF!</v>
      </c>
    </row>
    <row r="12" spans="1:52" s="218" customFormat="1" ht="11.25" x14ac:dyDescent="0.2">
      <c r="A12" s="415" t="s">
        <v>257</v>
      </c>
      <c r="B12" s="134"/>
      <c r="C12" s="566"/>
      <c r="D12" s="134"/>
      <c r="E12" s="134"/>
      <c r="F12" s="134"/>
      <c r="G12" s="134"/>
      <c r="H12" s="134"/>
      <c r="I12" s="134"/>
      <c r="J12" s="134"/>
      <c r="K12" s="134"/>
      <c r="L12" s="134"/>
      <c r="M12" s="134"/>
      <c r="N12" s="250"/>
      <c r="O12" s="134"/>
      <c r="P12" s="134"/>
      <c r="Q12" s="134"/>
      <c r="R12" s="250"/>
      <c r="S12" s="250"/>
      <c r="T12" s="134"/>
      <c r="U12" s="134"/>
      <c r="V12" s="386"/>
      <c r="W12" s="134"/>
      <c r="X12" s="134"/>
      <c r="Y12" s="134"/>
      <c r="Z12" s="392"/>
    </row>
    <row r="13" spans="1:52" s="4" customFormat="1" x14ac:dyDescent="0.2">
      <c r="A13" s="503" t="s">
        <v>85</v>
      </c>
      <c r="B13" s="573" t="s">
        <v>364</v>
      </c>
      <c r="C13" s="562">
        <v>280.70866141732284</v>
      </c>
      <c r="D13" s="332"/>
      <c r="E13" s="165">
        <v>29.7</v>
      </c>
      <c r="F13" s="165">
        <v>0</v>
      </c>
      <c r="G13" s="270">
        <v>1247.8699999999999</v>
      </c>
      <c r="H13" s="270">
        <v>107.82</v>
      </c>
      <c r="I13" s="212"/>
      <c r="J13" s="276">
        <v>0</v>
      </c>
      <c r="K13" s="271">
        <v>47.81</v>
      </c>
      <c r="L13" s="213"/>
      <c r="M13" s="467">
        <f xml:space="preserve"> E13+F13+G13+H13</f>
        <v>1385.3899999999999</v>
      </c>
      <c r="N13" s="467" t="e">
        <f>IF($B$2="mil",1,0.0254)*C13+ M13</f>
        <v>#REF!</v>
      </c>
      <c r="O13" s="213"/>
      <c r="P13" s="469" t="e">
        <f>MAX($P$5:$Q$5)+IF($B$2="mil",1,0.0254)*DDR2Specs!$B$9</f>
        <v>#REF!</v>
      </c>
      <c r="Q13" s="469" t="e">
        <f>MIN($P$5:$Q$5)+IF($B$2="mil",1,0.0254)*DDR2Specs!$C$9</f>
        <v>#REF!</v>
      </c>
      <c r="R13" s="470" t="e">
        <f>IF($N13&lt;$P13,$P13-$N13,"Pass")</f>
        <v>#REF!</v>
      </c>
      <c r="S13" s="471" t="e">
        <f>IF($N13&gt;$Q13,$N13-$Q13,"Pass")</f>
        <v>#REF!</v>
      </c>
      <c r="T13" s="472" t="e">
        <f>IF($E13&lt;=IF($B$2="mil",1,0.0254)*50,"Pass",IF($B$2="mil",1,0.0254)*50-$E13)</f>
        <v>#REF!</v>
      </c>
      <c r="U13" s="473" t="e">
        <f>IF($F13&lt;=IF($B$2="mil",1,0.0254)*500,"Pass",IF($B$2="mil",1,0.0254)*500-$F13)</f>
        <v>#REF!</v>
      </c>
      <c r="V13" s="473" t="e">
        <f>IF($H13&lt;=IF($B$2="mil",1,0.0254)*200,"Pass",IF($B$2="mil",1,0.0254)*200-$H13)</f>
        <v>#REF!</v>
      </c>
      <c r="W13" s="473" t="e">
        <f>IF(AND($M13&gt;=IF($B$2="mil",1,0.0254)*500, $M13&lt;=IF($B$2="mil",1,0.0254)*3500),"Pass",IF($B$2="mil",1,0.0254)*3500-$M13)</f>
        <v>#REF!</v>
      </c>
      <c r="X13" s="473" t="e">
        <f>IF(AND($N13&gt;=IF($B$2="mil",1,0.0254)*500, $N13&lt;=IF($B$2="mil",1,0.0254)*4000),"Pass",IF($B$2="mil",1,0.0254)*4000-$N13)</f>
        <v>#REF!</v>
      </c>
      <c r="Y13" s="473" t="e">
        <f>IF((J13&lt;=IF($B$2="mil",1,0.0254)*1300),"Pass",IF($B$2="mil",1,0.0254)*1300-J13)</f>
        <v>#REF!</v>
      </c>
      <c r="Z13" s="474" t="e">
        <f ca="1">CheckLength2(IF($B$2="mil",1,0.0254)*1500,J13,K13,0)</f>
        <v>#NAME?</v>
      </c>
      <c r="AA13" s="350"/>
      <c r="AB13" s="350"/>
      <c r="AC13" s="350"/>
      <c r="AD13" s="350"/>
      <c r="AE13" s="350"/>
      <c r="AF13" s="350"/>
      <c r="AG13" s="350"/>
      <c r="AH13" s="350"/>
      <c r="AI13" s="350"/>
      <c r="AJ13" s="350"/>
      <c r="AK13" s="350"/>
      <c r="AL13" s="350"/>
      <c r="AM13" s="350"/>
      <c r="AN13" s="350"/>
      <c r="AO13" s="350"/>
      <c r="AP13" s="350"/>
      <c r="AQ13" s="350"/>
      <c r="AR13" s="350"/>
      <c r="AS13" s="350"/>
      <c r="AT13" s="350"/>
      <c r="AU13" s="350"/>
      <c r="AV13" s="350"/>
      <c r="AW13" s="350"/>
      <c r="AX13" s="350"/>
      <c r="AY13" s="4" t="e">
        <f ca="1">IF(AND(R13="Pass",S13="Pass",T13="Pass",U13="Pass",V13="Pass",W13="Pass",X13="Pass",Y13="Pass",Z13="Pass"),"Pass","Fail")</f>
        <v>#REF!</v>
      </c>
    </row>
    <row r="14" spans="1:52" s="4" customFormat="1" x14ac:dyDescent="0.2">
      <c r="A14" s="503" t="s">
        <v>86</v>
      </c>
      <c r="B14" s="573" t="s">
        <v>385</v>
      </c>
      <c r="C14" s="562">
        <v>459.64566929133861</v>
      </c>
      <c r="D14" s="332"/>
      <c r="E14" s="165">
        <v>29.7</v>
      </c>
      <c r="F14" s="165">
        <v>0</v>
      </c>
      <c r="G14" s="270">
        <v>1293.8399999999999</v>
      </c>
      <c r="H14" s="270">
        <v>125.94</v>
      </c>
      <c r="I14" s="212"/>
      <c r="J14" s="276">
        <v>0</v>
      </c>
      <c r="K14" s="271">
        <v>36.69</v>
      </c>
      <c r="L14" s="213"/>
      <c r="M14" s="467">
        <f xml:space="preserve"> E14+F14+G14+H14</f>
        <v>1449.48</v>
      </c>
      <c r="N14" s="467" t="e">
        <f>IF($B$2="mil",1,0.0254)*C14+ M14</f>
        <v>#REF!</v>
      </c>
      <c r="O14" s="213"/>
      <c r="P14" s="469" t="e">
        <f>MAX($P$5:$Q$5)+IF($B$2="mil",1,0.0254)*DDR2Specs!$B$9</f>
        <v>#REF!</v>
      </c>
      <c r="Q14" s="469" t="e">
        <f>MIN($P$5:$Q$5)+IF($B$2="mil",1,0.0254)*DDR2Specs!$C$9</f>
        <v>#REF!</v>
      </c>
      <c r="R14" s="470" t="e">
        <f>IF($N14&lt;$P14,$P14-$N14,"Pass")</f>
        <v>#REF!</v>
      </c>
      <c r="S14" s="471" t="e">
        <f>IF($N14&gt;$Q14,$N14-$Q14,"Pass")</f>
        <v>#REF!</v>
      </c>
      <c r="T14" s="472" t="e">
        <f>IF($E14&lt;=IF($B$2="mil",1,0.0254)*50,"Pass",IF($B$2="mil",1,0.0254)*50-$E14)</f>
        <v>#REF!</v>
      </c>
      <c r="U14" s="473" t="e">
        <f>IF($F14&lt;=IF($B$2="mil",1,0.0254)*500,"Pass",IF($B$2="mil",1,0.0254)*500-$F14)</f>
        <v>#REF!</v>
      </c>
      <c r="V14" s="473" t="e">
        <f>IF($H14&lt;=IF($B$2="mil",1,0.0254)*200,"Pass",IF($B$2="mil",1,0.0254)*200-$H14)</f>
        <v>#REF!</v>
      </c>
      <c r="W14" s="473" t="e">
        <f>IF(AND($M14&gt;=IF($B$2="mil",1,0.0254)*500, $M14&lt;=IF($B$2="mil",1,0.0254)*3500),"Pass",IF($B$2="mil",1,0.0254)*3500-$M14)</f>
        <v>#REF!</v>
      </c>
      <c r="X14" s="473" t="e">
        <f>IF(AND($N14&gt;=IF($B$2="mil",1,0.0254)*500, $N14&lt;=IF($B$2="mil",1,0.0254)*4000),"Pass",IF($B$2="mil",1,0.0254)*4000-$N14)</f>
        <v>#REF!</v>
      </c>
      <c r="Y14" s="473" t="e">
        <f>IF((J14&lt;=IF($B$2="mil",1,0.0254)*1300),"Pass",IF($B$2="mil",1,0.0254)*1300-J14)</f>
        <v>#REF!</v>
      </c>
      <c r="Z14" s="474" t="e">
        <f ca="1">CheckLength2(IF($B$2="mil",1,0.0254)*1500,J14,K14,0)</f>
        <v>#NAME?</v>
      </c>
      <c r="AA14" s="350"/>
      <c r="AB14" s="350"/>
      <c r="AC14" s="350"/>
      <c r="AD14" s="350"/>
      <c r="AE14" s="350"/>
      <c r="AF14" s="350"/>
      <c r="AG14" s="350"/>
      <c r="AH14" s="350"/>
      <c r="AI14" s="350"/>
      <c r="AJ14" s="350"/>
      <c r="AK14" s="350"/>
      <c r="AL14" s="350"/>
      <c r="AM14" s="350"/>
      <c r="AN14" s="350"/>
      <c r="AO14" s="350"/>
      <c r="AP14" s="350"/>
      <c r="AQ14" s="350"/>
      <c r="AR14" s="350"/>
      <c r="AS14" s="350"/>
      <c r="AT14" s="350"/>
      <c r="AU14" s="350"/>
      <c r="AV14" s="350"/>
      <c r="AW14" s="350"/>
      <c r="AX14" s="350"/>
      <c r="AY14" s="4" t="e">
        <f ca="1">IF(AND(R14="Pass",S14="Pass",T14="Pass",U14="Pass",V14="Pass",W14="Pass",X14="Pass",Y14="Pass",Z14="Pass"),"Pass","Fail")</f>
        <v>#REF!</v>
      </c>
    </row>
    <row r="15" spans="1:52" s="2" customFormat="1" x14ac:dyDescent="0.2">
      <c r="A15" s="517"/>
      <c r="B15" s="33"/>
      <c r="C15" s="571"/>
      <c r="D15" s="46"/>
      <c r="E15" s="46"/>
      <c r="F15" s="47"/>
      <c r="G15" s="46"/>
      <c r="H15" s="46"/>
      <c r="I15" s="46"/>
      <c r="J15" s="46"/>
      <c r="K15" s="46"/>
      <c r="L15" s="46"/>
      <c r="M15" s="46"/>
      <c r="N15" s="46"/>
      <c r="O15" s="105"/>
      <c r="P15" s="105"/>
      <c r="Q15" s="105"/>
      <c r="R15" s="105"/>
      <c r="S15" s="105"/>
      <c r="T15" s="105"/>
      <c r="U15" s="106"/>
      <c r="V15" s="106"/>
      <c r="W15" s="99"/>
      <c r="X15" s="105"/>
      <c r="Y15" s="105"/>
      <c r="Z15" s="279"/>
      <c r="AA15" s="429"/>
      <c r="AB15" s="429"/>
      <c r="AC15" s="429"/>
      <c r="AD15" s="429"/>
      <c r="AE15" s="429"/>
      <c r="AF15" s="429"/>
      <c r="AG15" s="429"/>
      <c r="AH15" s="429"/>
      <c r="AI15" s="429"/>
      <c r="AJ15" s="429"/>
      <c r="AK15" s="429"/>
      <c r="AL15" s="429"/>
      <c r="AM15" s="429"/>
      <c r="AN15" s="429"/>
      <c r="AO15" s="429"/>
      <c r="AP15" s="429"/>
      <c r="AQ15" s="429"/>
      <c r="AR15" s="429"/>
      <c r="AS15" s="429"/>
      <c r="AT15" s="429"/>
      <c r="AU15" s="429"/>
      <c r="AV15" s="429"/>
      <c r="AW15" s="429"/>
      <c r="AX15" s="429"/>
    </row>
    <row r="16" spans="1:52" s="133" customFormat="1" ht="22.5" x14ac:dyDescent="0.2">
      <c r="A16" s="499" t="s">
        <v>494</v>
      </c>
      <c r="B16" s="495" t="s">
        <v>457</v>
      </c>
      <c r="C16" s="570" t="s">
        <v>70</v>
      </c>
      <c r="D16" s="130"/>
      <c r="E16" s="127" t="e">
        <f>"Escape
Length L0
 ["&amp;$B$2&amp;"]"</f>
        <v>#REF!</v>
      </c>
      <c r="F16" s="127" t="e">
        <f>"Breakout
Length L1
["&amp; $B$2&amp;"]"</f>
        <v>#REF!</v>
      </c>
      <c r="G16" s="127" t="e">
        <f>"Main
Length L2
[" &amp;$B$2&amp; " ]"</f>
        <v>#REF!</v>
      </c>
      <c r="H16" s="127"/>
      <c r="I16" s="129"/>
      <c r="J16" s="129" t="e">
        <f>"Via-to-via (SODIMM-to-Rt) L3 ["&amp;$B$2&amp;"]"</f>
        <v>#REF!</v>
      </c>
      <c r="K16" s="123" t="e">
        <f>"Via-to-Rt
L4 ["&amp;$B$2&amp;"]"</f>
        <v>#REF!</v>
      </c>
      <c r="L16" s="129"/>
      <c r="M16" s="123" t="e">
        <f>"Trace L5 ["&amp;$B$2&amp;"]"</f>
        <v>#REF!</v>
      </c>
      <c r="N16" s="123" t="e">
        <f>"Trace L6-1 ["&amp;$B$2&amp;"]"</f>
        <v>#REF!</v>
      </c>
      <c r="O16" s="130"/>
      <c r="P16" s="123" t="e">
        <f>"Trace L6-2 ["&amp;$B$2&amp;"]"</f>
        <v>#REF!</v>
      </c>
      <c r="Q16" s="123" t="e">
        <f>"Trace L7-1 ["&amp;$B$2&amp;"]"</f>
        <v>#REF!</v>
      </c>
      <c r="R16" s="123" t="e">
        <f>"Trace L8-1 to U1 ["&amp;$B$2&amp;"]"</f>
        <v>#REF!</v>
      </c>
      <c r="S16" s="123" t="e">
        <f>"Trace L8-2 to U5 ["&amp;$B$2&amp;"]"</f>
        <v>#REF!</v>
      </c>
      <c r="T16" s="123" t="e">
        <f>"Trace L9-1 to U1 ["&amp;$B$2&amp;"]"</f>
        <v>#REF!</v>
      </c>
      <c r="U16" s="123" t="e">
        <f>"Trace L9-2 to U5 ["&amp;$B$2&amp;"]"</f>
        <v>#REF!</v>
      </c>
      <c r="V16" s="123" t="e">
        <f>"Total MB Length to U1 (L0+L1+L2+L5+L6-1+L7-1+L8-1+L9-1) ["&amp;$B$2&amp;"]"</f>
        <v>#REF!</v>
      </c>
      <c r="W16" s="123" t="e">
        <f>"Total Pad to Pin U1 (P1+L0+L1+L2+L5+L6-1+L7-1+L8-1+L9-1) ["&amp;$B$2&amp;"]"</f>
        <v>#REF!</v>
      </c>
      <c r="X16" s="130" t="e">
        <f>"Target Min Length to U1
["&amp;$B$2&amp;"]"</f>
        <v>#REF!</v>
      </c>
      <c r="Y16" s="129" t="e">
        <f>"Target Max Length  to U1 
["&amp;$B$2&amp;"]"</f>
        <v>#REF!</v>
      </c>
      <c r="Z16" s="131" t="e">
        <f>"Routed Too Short  to U1 [" &amp;$B$2&amp;"]"</f>
        <v>#REF!</v>
      </c>
      <c r="AA16" s="130" t="e">
        <f>"Routed Too Long  to U1 [" &amp;$B$2&amp;"]"</f>
        <v>#REF!</v>
      </c>
      <c r="AB16" s="123" t="e">
        <f>"Total MB Length to U5 (L0+L1+L2+L5+L6-1+L7-1+L8-2+L9-2) ["&amp;$B$2&amp;"]"</f>
        <v>#REF!</v>
      </c>
      <c r="AC16" s="123" t="e">
        <f>"Total Pad to Pin U5 (P1+L0+L1+L2+L5+L6-1+L7-1+L8-2+L9-2) ["&amp;$B$2&amp;"]"</f>
        <v>#REF!</v>
      </c>
      <c r="AD16" s="130" t="e">
        <f>"Target Min Length to U5
["&amp;$B$2&amp;"]"</f>
        <v>#REF!</v>
      </c>
      <c r="AE16" s="129" t="e">
        <f>"Target Max Length  to U5 
["&amp;$B$2&amp;"]"</f>
        <v>#REF!</v>
      </c>
      <c r="AF16" s="131" t="e">
        <f>"Routed Too Short  to U5 [" &amp;$B$2&amp;"]"</f>
        <v>#REF!</v>
      </c>
      <c r="AG16" s="130" t="e">
        <f>"Routed Too Long  to U5 [" &amp;$B$2&amp;"]"</f>
        <v>#REF!</v>
      </c>
      <c r="AH16" s="132" t="e">
        <f>"L0 Length Test (&lt;=" &amp; IF($B$2="mil",1,0.0254)*50&amp;$B$2&amp;")"</f>
        <v>#REF!</v>
      </c>
      <c r="AI16" s="132" t="e">
        <f>"L1 Length Test (&lt;=" &amp; IF($B$2="mil",1,0.0254)*500&amp;$B$2&amp;")"</f>
        <v>#REF!</v>
      </c>
      <c r="AJ16" s="132" t="e">
        <f>"L3 Length Test (&lt;=" &amp; IF($B$2="mil",1,0.0254)*1000&amp;$B$2&amp;")"</f>
        <v>#REF!</v>
      </c>
      <c r="AK16" s="132" t="e">
        <f>"L4 Length Test (&lt;=" &amp; IF($B$2="mil",1,0.0254)*200&amp;$B$2&amp;") or (L3+L4&lt;= "&amp;IF($B$2="mil",1,0.0254)*1200&amp;$B$2&amp;")"</f>
        <v>#REF!</v>
      </c>
      <c r="AL16" s="132" t="e">
        <f>"L5 Length Test (&lt;=" &amp; IF($B$2="mil",1,0.0254)*1000&amp;$B$2&amp;")"</f>
        <v>#REF!</v>
      </c>
      <c r="AM16" s="132" t="e">
        <f>"L6-1 Length Test (&lt;=" &amp; IF($B$2="mil",1,0.0254)*1000&amp;$B$2&amp;")"</f>
        <v>#REF!</v>
      </c>
      <c r="AN16" s="132" t="s">
        <v>435</v>
      </c>
      <c r="AO16" s="132" t="e">
        <f>"L7-1 Length Test (&lt;=" &amp; IF($B$2="mil",1,0.0254)*1000&amp;$B$2&amp;")"</f>
        <v>#REF!</v>
      </c>
      <c r="AP16" s="132" t="e">
        <f>"Diff L7-1, L7-2, L7-3, L7-4 (&lt;="&amp;IF($B$2="mil",1,0.0254)*50&amp;$B$2&amp;")"</f>
        <v>#REF!</v>
      </c>
      <c r="AQ16" s="132" t="e">
        <f>"L8-1 Length Test (&lt;=" &amp; IF($B$2="mil",1,0.0254)*750&amp;$B$2&amp;")"</f>
        <v>#REF!</v>
      </c>
      <c r="AR16" s="132" t="e">
        <f>"L8-2 Length Test (&lt;=" &amp; IF($B$2="mil",1,0.0254)*750&amp;$B$2&amp;")"</f>
        <v>#REF!</v>
      </c>
      <c r="AS16" s="132" t="e">
        <f>"L9-1 Length Test (&lt;=" &amp; IF($B$2="mil",1,0.0254)*200&amp;$B$2&amp;") or (L8-1+L9-1&lt;= "&amp;IF($B$2="mil",1,0.0254)*950&amp;$B$2&amp;")"</f>
        <v>#REF!</v>
      </c>
      <c r="AT16" s="132" t="e">
        <f>"L9-2 Length Test (&lt;=" &amp; IF($B$2="mil",1,0.0254)*200&amp;$B$2&amp;") or (L8-2+L9-2&lt;= "&amp;IF($B$2="mil",1,0.0254)*950&amp;$B$2&amp;")"</f>
        <v>#REF!</v>
      </c>
      <c r="AU16" s="129" t="e">
        <f>"Total Length to U1 (L0+L1+L2+L5+L6-1+L7-1+L8-1+L9-1) Test
 ("&amp;IF($B$2="mil",1,0.0254)*500&amp;"-"&amp;IF($B$2="mil",1,0.0254)*6500&amp;IF($B$2="mil","mil","mm")&amp;")"</f>
        <v>#REF!</v>
      </c>
      <c r="AV16" s="129" t="e">
        <f>"Total Length to U1 (P1+L0+L1+L2+L5+L6-1+L7-1+L8-1+L9-1) Test
 (&lt;="&amp;IF($B$2="mil",1,25.4)*7000&amp;IF($B$2="mil","mil","mm")&amp;")"</f>
        <v>#REF!</v>
      </c>
      <c r="AW16" s="129" t="e">
        <f>"Total Length to U5 (L0+L1+L2+L5+L6-1+L7-1+L8-2+L9-2) Test
 ("&amp;IF($B$2="mil",1,0.0254)*500&amp;"-"&amp;IF($B$2="mil",1,0.0254)*6500&amp;IF($B$2="mil","mil","mm")&amp;")"</f>
        <v>#REF!</v>
      </c>
      <c r="AX16" s="129" t="e">
        <f>"Total Length to U5(P1+L0+L1+L2+L5+L6-1+L7-1+L8-2+L9-2) Test
 (&lt;="&amp;IF($B$2="mil",1,25.4)*7000&amp;IF($B$2="mil","mil","mm")&amp;")"</f>
        <v>#REF!</v>
      </c>
      <c r="AY16" s="4"/>
    </row>
    <row r="17" spans="1:52" s="4" customFormat="1" ht="11.25" x14ac:dyDescent="0.2">
      <c r="A17" s="134" t="s">
        <v>258</v>
      </c>
      <c r="B17" s="134"/>
      <c r="C17" s="566"/>
      <c r="D17" s="135"/>
      <c r="E17" s="135"/>
      <c r="F17" s="194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95"/>
      <c r="W17" s="195"/>
      <c r="X17" s="195"/>
      <c r="Y17" s="187"/>
      <c r="Z17" s="195"/>
      <c r="AA17" s="195"/>
      <c r="AB17" s="195"/>
      <c r="AC17" s="195"/>
      <c r="AD17" s="195"/>
      <c r="AE17" s="195"/>
      <c r="AF17" s="195"/>
      <c r="AG17" s="195"/>
      <c r="AH17" s="187"/>
      <c r="AI17" s="195"/>
      <c r="AJ17" s="195"/>
      <c r="AK17" s="195"/>
      <c r="AL17" s="195"/>
      <c r="AM17" s="195"/>
      <c r="AN17" s="195"/>
      <c r="AO17" s="195"/>
      <c r="AP17" s="195"/>
      <c r="AQ17" s="195"/>
      <c r="AR17" s="195"/>
      <c r="AS17" s="195"/>
      <c r="AT17" s="195"/>
      <c r="AU17" s="195"/>
      <c r="AV17" s="195"/>
      <c r="AW17" s="195"/>
      <c r="AX17" s="243"/>
    </row>
    <row r="18" spans="1:52" s="4" customFormat="1" ht="11.25" x14ac:dyDescent="0.2">
      <c r="A18" s="140" t="s">
        <v>67</v>
      </c>
      <c r="B18" s="141"/>
      <c r="C18" s="568"/>
      <c r="D18" s="142"/>
      <c r="E18" s="143"/>
      <c r="F18" s="196"/>
      <c r="G18" s="143"/>
      <c r="H18" s="143"/>
      <c r="I18" s="144"/>
      <c r="J18" s="144"/>
      <c r="K18" s="143"/>
      <c r="L18" s="144"/>
      <c r="M18" s="143"/>
      <c r="N18" s="143"/>
      <c r="O18" s="147"/>
      <c r="P18" s="143"/>
      <c r="Q18" s="143"/>
      <c r="R18" s="143"/>
      <c r="S18" s="143"/>
      <c r="T18" s="143"/>
      <c r="U18" s="143"/>
      <c r="V18" s="143"/>
      <c r="W18" s="502" t="s">
        <v>272</v>
      </c>
      <c r="X18" s="487" t="e">
        <f>MIN('DDR2 Clocks - 4L'!$O$5:$O$6)</f>
        <v>#REF!</v>
      </c>
      <c r="Y18" s="484" t="e">
        <f>MAX('DDR2 Clocks - 4L'!$O$5:$O$6)</f>
        <v>#REF!</v>
      </c>
      <c r="Z18" s="487"/>
      <c r="AA18" s="145"/>
      <c r="AB18" s="488"/>
      <c r="AC18" s="502" t="s">
        <v>332</v>
      </c>
      <c r="AD18" s="487" t="e">
        <f>MIN('DDR2 Clocks - 4L'!$O$7:$O$8)</f>
        <v>#REF!</v>
      </c>
      <c r="AE18" s="486" t="e">
        <f>MAX('DDR2 Clocks - 4L'!$O$7:$O$8)</f>
        <v>#REF!</v>
      </c>
      <c r="AF18" s="488"/>
      <c r="AG18" s="488"/>
      <c r="AH18" s="488"/>
      <c r="AI18" s="488"/>
      <c r="AJ18" s="483"/>
      <c r="AK18" s="483"/>
      <c r="AL18" s="483"/>
      <c r="AM18" s="483"/>
      <c r="AN18" s="483"/>
      <c r="AO18" s="483"/>
      <c r="AP18" s="483"/>
      <c r="AQ18" s="483"/>
      <c r="AR18" s="483"/>
      <c r="AS18" s="483"/>
      <c r="AT18" s="483"/>
      <c r="AU18" s="483"/>
      <c r="AV18" s="483"/>
      <c r="AW18" s="483"/>
      <c r="AX18" s="484"/>
    </row>
    <row r="19" spans="1:52" s="4" customFormat="1" ht="11.25" x14ac:dyDescent="0.2">
      <c r="A19" s="134" t="s">
        <v>425</v>
      </c>
      <c r="B19" s="134"/>
      <c r="C19" s="566"/>
      <c r="D19" s="155"/>
      <c r="E19" s="156"/>
      <c r="F19" s="198"/>
      <c r="G19" s="156"/>
      <c r="H19" s="156"/>
      <c r="I19" s="156"/>
      <c r="J19" s="157"/>
      <c r="K19" s="157"/>
      <c r="L19" s="156"/>
      <c r="M19" s="157"/>
      <c r="N19" s="157"/>
      <c r="O19" s="159"/>
      <c r="P19" s="157"/>
      <c r="Q19" s="157"/>
      <c r="R19" s="157"/>
      <c r="S19" s="157"/>
      <c r="T19" s="157"/>
      <c r="U19" s="157"/>
      <c r="V19" s="157"/>
      <c r="W19" s="244"/>
      <c r="X19" s="155"/>
      <c r="Y19" s="514"/>
      <c r="Z19" s="476"/>
      <c r="AA19" s="155"/>
      <c r="AB19" s="155"/>
      <c r="AC19" s="155"/>
      <c r="AD19" s="155"/>
      <c r="AE19" s="155"/>
      <c r="AF19" s="155"/>
      <c r="AG19" s="155"/>
      <c r="AH19" s="385"/>
      <c r="AI19" s="155"/>
      <c r="AJ19" s="155"/>
      <c r="AK19" s="155"/>
      <c r="AL19" s="155"/>
      <c r="AM19" s="155"/>
      <c r="AN19" s="155"/>
      <c r="AO19" s="155"/>
      <c r="AP19" s="155"/>
      <c r="AQ19" s="155"/>
      <c r="AR19" s="155"/>
      <c r="AS19" s="155"/>
      <c r="AT19" s="155"/>
      <c r="AU19" s="155"/>
      <c r="AV19" s="155"/>
      <c r="AW19" s="155"/>
      <c r="AX19" s="478"/>
    </row>
    <row r="20" spans="1:52" s="4" customFormat="1" x14ac:dyDescent="0.2">
      <c r="A20" s="503" t="s">
        <v>73</v>
      </c>
      <c r="B20" s="434" t="s">
        <v>495</v>
      </c>
      <c r="C20" s="562">
        <v>466</v>
      </c>
      <c r="D20" s="164"/>
      <c r="E20" s="199">
        <v>29.7</v>
      </c>
      <c r="F20" s="276">
        <v>0</v>
      </c>
      <c r="G20" s="270">
        <v>2264.34</v>
      </c>
      <c r="H20" s="270">
        <v>107.82</v>
      </c>
      <c r="I20" s="295"/>
      <c r="J20" s="294">
        <v>0</v>
      </c>
      <c r="K20" s="270">
        <v>42.88</v>
      </c>
      <c r="L20" s="296"/>
      <c r="M20" s="297">
        <v>700</v>
      </c>
      <c r="N20" s="363">
        <v>400</v>
      </c>
      <c r="O20" s="170"/>
      <c r="P20" s="270">
        <v>400</v>
      </c>
      <c r="Q20" s="270">
        <v>565.69000000000005</v>
      </c>
      <c r="R20" s="270">
        <v>100.03</v>
      </c>
      <c r="S20" s="270">
        <v>100.03</v>
      </c>
      <c r="T20" s="364">
        <v>50</v>
      </c>
      <c r="U20" s="364">
        <v>50</v>
      </c>
      <c r="V20" s="490">
        <f>SUM($E20:$G20,$M20,$Q20:$R20,$N20,$T20)</f>
        <v>4109.76</v>
      </c>
      <c r="W20" s="469" t="e">
        <f>$V20+IF($B$2="mil",1,0.0254)*$C20</f>
        <v>#REF!</v>
      </c>
      <c r="X20" s="469" t="e">
        <f>$Y$18 + IF($B$2="mil",1,0.0254)*DDR2Specs!$E$9</f>
        <v>#REF!</v>
      </c>
      <c r="Y20" s="492" t="e">
        <f>$X$18 + IF($B$2="mil",1,0.0254)*DDR2Specs!$F$9</f>
        <v>#REF!</v>
      </c>
      <c r="Z20" s="491" t="e">
        <f>IF($W20&lt;$X20,$X20-$W20,"Pass")</f>
        <v>#REF!</v>
      </c>
      <c r="AA20" s="492" t="e">
        <f>IF($W20&gt;$Y20,$W20-$Y20,"Pass")</f>
        <v>#REF!</v>
      </c>
      <c r="AB20" s="490">
        <f>SUM($E20:$G20,$M20,$Q20,$N20,$S20,U20)</f>
        <v>4109.76</v>
      </c>
      <c r="AC20" s="469" t="e">
        <f>$AB20+IF($B$2="mil",1,0.0254)*$C20</f>
        <v>#REF!</v>
      </c>
      <c r="AD20" s="469" t="e">
        <f>$AE$18 + IF($B$2="mil",1,0.0254)*DDR2Specs!$E$9</f>
        <v>#REF!</v>
      </c>
      <c r="AE20" s="469" t="e">
        <f>$AD$18 + IF($B$2="mil",1,0.0254)*DDR2Specs!$F$9</f>
        <v>#REF!</v>
      </c>
      <c r="AF20" s="491" t="e">
        <f>IF($AC20&lt;$AD20,$AD20-$AC20,"Pass")</f>
        <v>#REF!</v>
      </c>
      <c r="AG20" s="492" t="e">
        <f>IF($AC20&gt;$AE20,$AC20-$AE20,"Pass")</f>
        <v>#REF!</v>
      </c>
      <c r="AH20" s="472" t="e">
        <f>IF($E20&lt;=IF($B$2="mil",1,0.0254)*50,"Pass",IF($B$2="mil",1,0.0254)*50-$E20)</f>
        <v>#REF!</v>
      </c>
      <c r="AI20" s="473" t="e">
        <f>IF($F20&lt;=IF($B$2="mil",1,0.0254)*500,"Pass",IF($B$2="mil",1,0.0254)*500-$F20)</f>
        <v>#REF!</v>
      </c>
      <c r="AJ20" s="473" t="e">
        <f>IF($J20&lt;=IF($B$2="mil",1,0.0254)*1000,"Pass",IF($B$2="mil",1,0.0254)*1000-$J20)</f>
        <v>#REF!</v>
      </c>
      <c r="AK20" s="473" t="e">
        <f ca="1">CheckLength2(IF($B$2="mil",1,0.0254)*1200,J20,K20,0)</f>
        <v>#NAME?</v>
      </c>
      <c r="AL20" s="473" t="e">
        <f t="shared" ref="AL20:AM22" si="0">IF(M20&lt;=IF($B$2="mil",1,0.0254)*1000,"Pass",IF($B$2="mil",1,0.0254)*1000-M20)</f>
        <v>#REF!</v>
      </c>
      <c r="AM20" s="473" t="e">
        <f t="shared" si="0"/>
        <v>#REF!</v>
      </c>
      <c r="AN20" s="473" t="e">
        <f>IF(MAX(N20,P20)-MIN(N20,P20)&lt;=IF($B$2="mil",1,0.0254)*50,"Pass",MAX(N20,P20)-MIN(N20,P20)-IF($B$2="mil",1,0.0254)*50)</f>
        <v>#REF!</v>
      </c>
      <c r="AO20" s="473" t="e">
        <f>IF($Q20&lt;=IF($B$2="mil",1,0.0254)*1000,"Pass",IF($B$2="mil",1,0.0254)*1000-$Q20)</f>
        <v>#REF!</v>
      </c>
      <c r="AP20" s="473" t="e">
        <f>IF(MAX(Q20,Q33,Q46,Q59)-MIN(Q20,Q33,Q46,Q59)&lt;=IF($B$2="mil",1,0.0254)*50,"Pass",MAX(Q20,Q33,Q46,Q59)-MIN(Q20,Q33,Q46,Q59)-IF($B$2="mil",1,0.0254)*50)</f>
        <v>#REF!</v>
      </c>
      <c r="AQ20" s="473" t="e">
        <f>IF($R20&lt;=IF($B$2="mil",1,0.0254)*750,"Pass",IF($B$2="mil",1,0.0254)*750-$R20)</f>
        <v>#REF!</v>
      </c>
      <c r="AR20" s="473" t="e">
        <f>IF($S20&lt;=IF($B$2="mil",1,0.0254)*750,"Pass",IF($B$2="mil",1,0.0254)*750-$S20)</f>
        <v>#REF!</v>
      </c>
      <c r="AS20" s="473" t="e">
        <f t="shared" ref="AS20:AT22" ca="1" si="1">CheckLength2(IF($B$2="mil",1,0.0254)*950,R20,T20,0)</f>
        <v>#NAME?</v>
      </c>
      <c r="AT20" s="473" t="e">
        <f t="shared" ca="1" si="1"/>
        <v>#NAME?</v>
      </c>
      <c r="AU20" s="473" t="e">
        <f>IF(AND($V20&gt;=IF($B$2="mil",1,0.0254)*500, $V20&lt;=IF($B$2="mil",1,0.0254)*6500),"Pass",IF($B$2="mil",1,0.0254)*6500-$V20)</f>
        <v>#REF!</v>
      </c>
      <c r="AV20" s="473" t="e">
        <f>IF(AND($W20&gt;=IF($B$2="mil",1,0.0254)*500, $W20&lt;=IF($B$2="mil",1,0.0254)*7000),"Pass",IF($B$2="mil",1,0.0254)*7000-$W20)</f>
        <v>#REF!</v>
      </c>
      <c r="AW20" s="473" t="e">
        <f>IF(AND($AB20&gt;=IF($B$2="mil",1,0.0254)*500, $AB20&lt;=IF($B$2="mil",1,0.0254)*6500),"Pass",IF($B$2="mil",1,0.0254)*6500-$AB20)</f>
        <v>#REF!</v>
      </c>
      <c r="AX20" s="474" t="e">
        <f>IF(AND($AC20&gt;=IF($B$2="mil",1,0.0254)*500, $AC20&lt;=IF($B$2="mil",1,0.0254)*7000),"Pass",IF($B$2="mil",1,0.0254)*7000-$AC20)</f>
        <v>#REF!</v>
      </c>
      <c r="AY20" s="4" t="e">
        <f ca="1">IF(AND(Z20="Pass",AA20="Pass",AF20="Pass",AG20="Pass",AH20="Pass",AI20="Pass",AJ20="Pass",AK20="Pass",AL20="Pass",AM20="Pass",AN20="Pass",AO20="Pass",AP20="Pass",AQ20="Pass",AR20="Pass",AS20="Pass",AT20="Pass",AU20="Pass",AV20="Pass",AW20="Pass",AX20="Pass"),"Pass","Fail")</f>
        <v>#REF!</v>
      </c>
      <c r="AZ20" s="4" t="e">
        <f ca="1">IF(AND(AY21="Pass",AY22="Pass",AY20="Pass"),"Pass","Fail")</f>
        <v>#REF!</v>
      </c>
    </row>
    <row r="21" spans="1:52" s="4" customFormat="1" x14ac:dyDescent="0.2">
      <c r="A21" s="503" t="s">
        <v>75</v>
      </c>
      <c r="B21" s="573" t="s">
        <v>365</v>
      </c>
      <c r="C21" s="562">
        <v>380</v>
      </c>
      <c r="D21" s="164"/>
      <c r="E21" s="199">
        <v>29.7</v>
      </c>
      <c r="F21" s="276">
        <v>0</v>
      </c>
      <c r="G21" s="270">
        <v>2001.91</v>
      </c>
      <c r="H21" s="270">
        <v>125.94</v>
      </c>
      <c r="I21" s="295"/>
      <c r="J21" s="294">
        <v>0</v>
      </c>
      <c r="K21" s="270">
        <v>32.5</v>
      </c>
      <c r="L21" s="296"/>
      <c r="M21" s="297">
        <v>700</v>
      </c>
      <c r="N21" s="363">
        <v>500</v>
      </c>
      <c r="O21" s="179"/>
      <c r="P21" s="270">
        <v>500</v>
      </c>
      <c r="Q21" s="270">
        <v>587.88</v>
      </c>
      <c r="R21" s="270">
        <v>200</v>
      </c>
      <c r="S21" s="270">
        <v>200</v>
      </c>
      <c r="T21" s="364">
        <v>50</v>
      </c>
      <c r="U21" s="364">
        <v>50</v>
      </c>
      <c r="V21" s="490">
        <f>SUM($E21:$G21,$M21,$Q21:$R21,$N21,$T21)</f>
        <v>4069.4900000000002</v>
      </c>
      <c r="W21" s="469" t="e">
        <f>$V21+IF($B$2="mil",1,0.0254)*$C21</f>
        <v>#REF!</v>
      </c>
      <c r="X21" s="469" t="e">
        <f>$Y$18 + IF($B$2="mil",1,0.0254)*DDR2Specs!$E$9</f>
        <v>#REF!</v>
      </c>
      <c r="Y21" s="492" t="e">
        <f>$X$18 + IF($B$2="mil",1,0.0254)*DDR2Specs!$F$9</f>
        <v>#REF!</v>
      </c>
      <c r="Z21" s="491" t="e">
        <f>IF($W21&lt;$X21,$X21-$W21,"Pass")</f>
        <v>#REF!</v>
      </c>
      <c r="AA21" s="492" t="e">
        <f>IF($W21&gt;$Y21,$W21-$Y21,"Pass")</f>
        <v>#REF!</v>
      </c>
      <c r="AB21" s="490">
        <f>SUM($E21:$G21,$M21,$Q21,$N21,$S21,U21)</f>
        <v>4069.4900000000002</v>
      </c>
      <c r="AC21" s="469" t="e">
        <f>$AB21+IF($B$2="mil",1,0.0254)*$C21</f>
        <v>#REF!</v>
      </c>
      <c r="AD21" s="469" t="e">
        <f>$AE$18 + IF($B$2="mil",1,0.0254)*DDR2Specs!$E$9</f>
        <v>#REF!</v>
      </c>
      <c r="AE21" s="469" t="e">
        <f>$AD$18 + IF($B$2="mil",1,0.0254)*DDR2Specs!$F$9</f>
        <v>#REF!</v>
      </c>
      <c r="AF21" s="491" t="e">
        <f>IF($AC21&lt;$AD21,$AD21-$AC21,"Pass")</f>
        <v>#REF!</v>
      </c>
      <c r="AG21" s="492" t="e">
        <f>IF($AC21&gt;$AE21,$AC21-$AE21,"Pass")</f>
        <v>#REF!</v>
      </c>
      <c r="AH21" s="472" t="e">
        <f>IF($E21&lt;=IF($B$2="mil",1,0.0254)*50,"Pass",IF($B$2="mil",1,0.0254)*50-$E21)</f>
        <v>#REF!</v>
      </c>
      <c r="AI21" s="473" t="e">
        <f>IF($F21&lt;=IF($B$2="mil",1,0.0254)*500,"Pass",IF($B$2="mil",1,0.0254)*500-$F21)</f>
        <v>#REF!</v>
      </c>
      <c r="AJ21" s="473" t="e">
        <f>IF($J21&lt;=IF($B$2="mil",1,0.0254)*1000,"Pass",IF($B$2="mil",1,0.0254)*1000-$J21)</f>
        <v>#REF!</v>
      </c>
      <c r="AK21" s="473" t="e">
        <f ca="1">CheckLength2(IF($B$2="mil",1,0.0254)*1200,J21,K21,0)</f>
        <v>#NAME?</v>
      </c>
      <c r="AL21" s="473" t="e">
        <f t="shared" si="0"/>
        <v>#REF!</v>
      </c>
      <c r="AM21" s="473" t="e">
        <f t="shared" si="0"/>
        <v>#REF!</v>
      </c>
      <c r="AN21" s="473" t="e">
        <f>IF(MAX(N21,P21)-MIN(N21,P21)&lt;=IF($B$2="mil",1,0.0254)*50,"Pass",MAX(N21,P21)-MIN(N21,P21)-IF($B$2="mil",1,0.0254)*50)</f>
        <v>#REF!</v>
      </c>
      <c r="AO21" s="473" t="e">
        <f>IF($Q21&lt;=IF($B$2="mil",1,0.0254)*1000,"Pass",IF($B$2="mil",1,0.0254)*1000-$Q21)</f>
        <v>#REF!</v>
      </c>
      <c r="AP21" s="473" t="e">
        <f>IF(MAX(Q21,Q34,Q47,Q60)-MIN(Q21,Q34,Q47,Q60)&lt;=IF($B$2="mil",1,0.0254)*50,"Pass",MAX(Q21,Q34,Q47,Q60)-MIN(Q21,Q34,Q47,Q60)-IF($B$2="mil",1,0.0254)*50)</f>
        <v>#REF!</v>
      </c>
      <c r="AQ21" s="473" t="e">
        <f>IF($R21&lt;=IF($B$2="mil",1,0.0254)*750,"Pass",IF($B$2="mil",1,0.0254)*750-$R21)</f>
        <v>#REF!</v>
      </c>
      <c r="AR21" s="473" t="e">
        <f>IF($S21&lt;=IF($B$2="mil",1,0.0254)*750,"Pass",IF($B$2="mil",1,0.0254)*750-$S21)</f>
        <v>#REF!</v>
      </c>
      <c r="AS21" s="473" t="e">
        <f t="shared" ca="1" si="1"/>
        <v>#NAME?</v>
      </c>
      <c r="AT21" s="473" t="e">
        <f t="shared" ca="1" si="1"/>
        <v>#NAME?</v>
      </c>
      <c r="AU21" s="473" t="e">
        <f>IF(AND($V21&gt;=IF($B$2="mil",1,0.0254)*500, $V21&lt;=IF($B$2="mil",1,0.0254)*6500),"Pass",IF($B$2="mil",1,0.0254)*6500-$V21)</f>
        <v>#REF!</v>
      </c>
      <c r="AV21" s="473" t="e">
        <f>IF(AND($W21&gt;=IF($B$2="mil",1,0.0254)*500, $W21&lt;=IF($B$2="mil",1,0.0254)*7000),"Pass",IF($B$2="mil",1,0.0254)*7000-$W21)</f>
        <v>#REF!</v>
      </c>
      <c r="AW21" s="473" t="e">
        <f>IF(AND($AB21&gt;=IF($B$2="mil",1,0.0254)*500, $AB21&lt;=IF($B$2="mil",1,0.0254)*6500),"Pass",IF($B$2="mil",1,0.0254)*6500-$AB21)</f>
        <v>#REF!</v>
      </c>
      <c r="AX21" s="474" t="e">
        <f>IF(AND($AC21&gt;=IF($B$2="mil",1,0.0254)*500, $AC21&lt;=IF($B$2="mil",1,0.0254)*7000),"Pass",IF($B$2="mil",1,0.0254)*7000-$AC21)</f>
        <v>#REF!</v>
      </c>
      <c r="AY21" s="4" t="e">
        <f t="shared" ref="AY21:AY28" ca="1" si="2">IF(AND(Z21="Pass",AA21="Pass",AF21="Pass",AG21="Pass",AH21="Pass",AI21="Pass",AJ21="Pass",AK21="Pass",AL21="Pass",AM21="Pass",AN21="Pass",AO21="Pass",AP21="Pass",AQ21="Pass",AR21="Pass",AS21="Pass",AT21="Pass",AU21="Pass",AV21="Pass",AW21="Pass",AX21="Pass"),"Pass","Fail")</f>
        <v>#REF!</v>
      </c>
    </row>
    <row r="22" spans="1:52" s="4" customFormat="1" x14ac:dyDescent="0.2">
      <c r="A22" s="503" t="s">
        <v>77</v>
      </c>
      <c r="B22" s="573" t="s">
        <v>349</v>
      </c>
      <c r="C22" s="562">
        <v>426</v>
      </c>
      <c r="D22" s="164"/>
      <c r="E22" s="199">
        <v>29.7</v>
      </c>
      <c r="F22" s="276">
        <v>0</v>
      </c>
      <c r="G22" s="270">
        <v>1907.19</v>
      </c>
      <c r="H22" s="270">
        <v>125.94</v>
      </c>
      <c r="I22" s="295"/>
      <c r="J22" s="294">
        <v>0</v>
      </c>
      <c r="K22" s="270">
        <v>41.64</v>
      </c>
      <c r="L22" s="296"/>
      <c r="M22" s="297">
        <v>700</v>
      </c>
      <c r="N22" s="363">
        <v>500</v>
      </c>
      <c r="O22" s="212"/>
      <c r="P22" s="270">
        <v>500</v>
      </c>
      <c r="Q22" s="270">
        <v>565.69000000000005</v>
      </c>
      <c r="R22" s="270">
        <v>220</v>
      </c>
      <c r="S22" s="270">
        <v>220</v>
      </c>
      <c r="T22" s="364">
        <v>50</v>
      </c>
      <c r="U22" s="364">
        <v>50</v>
      </c>
      <c r="V22" s="490">
        <f>SUM($E22:$G22,$M22,$Q22:$R22,$N22,$T22)</f>
        <v>3972.5800000000004</v>
      </c>
      <c r="W22" s="469" t="e">
        <f>$V22+IF($B$2="mil",1,0.0254)*$C22</f>
        <v>#REF!</v>
      </c>
      <c r="X22" s="469" t="e">
        <f>$Y$18 + IF($B$2="mil",1,0.0254)*DDR2Specs!$E$9</f>
        <v>#REF!</v>
      </c>
      <c r="Y22" s="492" t="e">
        <f>$X$18 + IF($B$2="mil",1,0.0254)*DDR2Specs!$F$9</f>
        <v>#REF!</v>
      </c>
      <c r="Z22" s="491" t="e">
        <f>IF($W22&lt;$X22,$X22-$W22,"Pass")</f>
        <v>#REF!</v>
      </c>
      <c r="AA22" s="492" t="e">
        <f>IF($W22&gt;$Y22,$W22-$Y22,"Pass")</f>
        <v>#REF!</v>
      </c>
      <c r="AB22" s="490">
        <f>SUM($E22:$G22,$M22,$Q22,$N22,$S22,U22)</f>
        <v>3972.5800000000004</v>
      </c>
      <c r="AC22" s="469" t="e">
        <f>$AB22+IF($B$2="mil",1,0.0254)*$C22</f>
        <v>#REF!</v>
      </c>
      <c r="AD22" s="469" t="e">
        <f>$AE$18 + IF($B$2="mil",1,0.0254)*DDR2Specs!$E$9</f>
        <v>#REF!</v>
      </c>
      <c r="AE22" s="469" t="e">
        <f>$AD$18 + IF($B$2="mil",1,0.0254)*DDR2Specs!$F$9</f>
        <v>#REF!</v>
      </c>
      <c r="AF22" s="491" t="e">
        <f>IF($AC22&lt;$AD22,$AD22-$AC22,"Pass")</f>
        <v>#REF!</v>
      </c>
      <c r="AG22" s="492" t="e">
        <f>IF($AC22&gt;$AE22,$AC22-$AE22,"Pass")</f>
        <v>#REF!</v>
      </c>
      <c r="AH22" s="472" t="e">
        <f>IF($E22&lt;=IF($B$2="mil",1,0.0254)*50,"Pass",IF($B$2="mil",1,0.0254)*50-$E22)</f>
        <v>#REF!</v>
      </c>
      <c r="AI22" s="473" t="e">
        <f>IF($F22&lt;=IF($B$2="mil",1,0.0254)*500,"Pass",IF($B$2="mil",1,0.0254)*500-$F22)</f>
        <v>#REF!</v>
      </c>
      <c r="AJ22" s="473" t="e">
        <f>IF($J22&lt;=IF($B$2="mil",1,0.0254)*1000,"Pass",IF($B$2="mil",1,0.0254)*1000-$J22)</f>
        <v>#REF!</v>
      </c>
      <c r="AK22" s="473" t="e">
        <f ca="1">CheckLength2(IF($B$2="mil",1,0.0254)*1200,J22,K22,0)</f>
        <v>#NAME?</v>
      </c>
      <c r="AL22" s="473" t="e">
        <f t="shared" si="0"/>
        <v>#REF!</v>
      </c>
      <c r="AM22" s="473" t="e">
        <f t="shared" si="0"/>
        <v>#REF!</v>
      </c>
      <c r="AN22" s="473" t="e">
        <f>IF(MAX(N22,P22)-MIN(N22,P22)&lt;=IF($B$2="mil",1,0.0254)*50,"Pass",MAX(N22,P22)-MIN(N22,P22)-IF($B$2="mil",1,0.0254)*50)</f>
        <v>#REF!</v>
      </c>
      <c r="AO22" s="473" t="e">
        <f>IF($Q22&lt;=IF($B$2="mil",1,0.0254)*1000,"Pass",IF($B$2="mil",1,0.0254)*1000-$Q22)</f>
        <v>#REF!</v>
      </c>
      <c r="AP22" s="473" t="e">
        <f>IF(MAX(Q22,Q35,Q48,Q61)-MIN(Q22,Q35,Q48,Q61)&lt;=IF($B$2="mil",1,0.0254)*50,"Pass",MAX(Q22,Q35,Q48,Q61)-MIN(Q22,Q35,Q48,Q61)-IF($B$2="mil",1,0.0254)*50)</f>
        <v>#REF!</v>
      </c>
      <c r="AQ22" s="473" t="e">
        <f>IF($R22&lt;=IF($B$2="mil",1,0.0254)*750,"Pass",IF($B$2="mil",1,0.0254)*750-$R22)</f>
        <v>#REF!</v>
      </c>
      <c r="AR22" s="473" t="e">
        <f>IF($S22&lt;=IF($B$2="mil",1,0.0254)*750,"Pass",IF($B$2="mil",1,0.0254)*750-$S22)</f>
        <v>#REF!</v>
      </c>
      <c r="AS22" s="473" t="e">
        <f t="shared" ca="1" si="1"/>
        <v>#NAME?</v>
      </c>
      <c r="AT22" s="473" t="e">
        <f t="shared" ca="1" si="1"/>
        <v>#NAME?</v>
      </c>
      <c r="AU22" s="473" t="e">
        <f>IF(AND($V22&gt;=IF($B$2="mil",1,0.0254)*500, $V22&lt;=IF($B$2="mil",1,0.0254)*6500),"Pass",IF($B$2="mil",1,0.0254)*6500-$V22)</f>
        <v>#REF!</v>
      </c>
      <c r="AV22" s="473" t="e">
        <f>IF(AND($W22&gt;=IF($B$2="mil",1,0.0254)*500, $W22&lt;=IF($B$2="mil",1,0.0254)*7000),"Pass",IF($B$2="mil",1,0.0254)*7000-$W22)</f>
        <v>#REF!</v>
      </c>
      <c r="AW22" s="473" t="e">
        <f>IF(AND($AB22&gt;=IF($B$2="mil",1,0.0254)*500, $AB22&lt;=IF($B$2="mil",1,0.0254)*6500),"Pass",IF($B$2="mil",1,0.0254)*6500-$AB22)</f>
        <v>#REF!</v>
      </c>
      <c r="AX22" s="474" t="e">
        <f>IF(AND($AC22&gt;=IF($B$2="mil",1,0.0254)*500, $AC22&lt;=IF($B$2="mil",1,0.0254)*7000),"Pass",IF($B$2="mil",1,0.0254)*7000-$AC22)</f>
        <v>#REF!</v>
      </c>
      <c r="AY22" s="4" t="e">
        <f t="shared" ca="1" si="2"/>
        <v>#REF!</v>
      </c>
    </row>
    <row r="23" spans="1:52" s="133" customFormat="1" ht="22.5" x14ac:dyDescent="0.2">
      <c r="A23" s="495" t="s">
        <v>494</v>
      </c>
      <c r="B23" s="495" t="s">
        <v>457</v>
      </c>
      <c r="C23" s="572" t="s">
        <v>70</v>
      </c>
      <c r="D23" s="130"/>
      <c r="E23" s="127" t="e">
        <f>"Escape
Length L0
 ["&amp;$B$2&amp;"]"</f>
        <v>#REF!</v>
      </c>
      <c r="F23" s="127" t="e">
        <f>"Breakout
Length L1
["&amp; $B$2&amp;"]"</f>
        <v>#REF!</v>
      </c>
      <c r="G23" s="127" t="e">
        <f>"Main
Length L2
[" &amp;$B$2&amp; " ]"</f>
        <v>#REF!</v>
      </c>
      <c r="H23" s="127"/>
      <c r="I23" s="129"/>
      <c r="J23" s="129" t="e">
        <f>"Via-to-via (SODIMM-to-Rt) L3 ["&amp;$B$2&amp;"]"</f>
        <v>#REF!</v>
      </c>
      <c r="K23" s="123" t="e">
        <f>"Via-to-Rt
L4 ["&amp;$B$2&amp;"]"</f>
        <v>#REF!</v>
      </c>
      <c r="L23" s="129"/>
      <c r="M23" s="123" t="e">
        <f>"Trace L5 ["&amp;$B$2&amp;"]"</f>
        <v>#REF!</v>
      </c>
      <c r="N23" s="123" t="e">
        <f>"Trace L6-1 ["&amp;$B$2&amp;"]"</f>
        <v>#REF!</v>
      </c>
      <c r="O23" s="130"/>
      <c r="P23" s="123" t="e">
        <f>"Trace L6-2 ["&amp;$B$2&amp;"]"</f>
        <v>#REF!</v>
      </c>
      <c r="Q23" s="123" t="e">
        <f>"Trace L7-1 ["&amp;$B$2&amp;"]"</f>
        <v>#REF!</v>
      </c>
      <c r="R23" s="123" t="e">
        <f>"Trace L8-1 to U1 ["&amp;$B$2&amp;"]"</f>
        <v>#REF!</v>
      </c>
      <c r="S23" s="123" t="e">
        <f>"Trace L8-2 to U5 ["&amp;$B$2&amp;"]"</f>
        <v>#REF!</v>
      </c>
      <c r="T23" s="123" t="e">
        <f>"Trace L9-1 to U1 ["&amp;$B$2&amp;"]"</f>
        <v>#REF!</v>
      </c>
      <c r="U23" s="123" t="e">
        <f>"Trace L9-2 to U5 ["&amp;$B$2&amp;"]"</f>
        <v>#REF!</v>
      </c>
      <c r="V23" s="495" t="e">
        <f>"Total MB Length to U1 (L0+L1+L2+L5+L6-1+L7-1+L8-1+L9-1) ["&amp;$B$2&amp;"]"</f>
        <v>#REF!</v>
      </c>
      <c r="W23" s="499" t="e">
        <f>"Total Pad to Pin U1 (P1+L0+L1+L2+L5+L6-1+L7-1+L8-1+L9-1) ["&amp;$B$2&amp;"]"</f>
        <v>#REF!</v>
      </c>
      <c r="X23" s="496" t="e">
        <f>"Target Min Length to U1
["&amp;$B$2&amp;"]"</f>
        <v>#REF!</v>
      </c>
      <c r="Y23" s="496" t="e">
        <f>"Target Max Length  to U1 
["&amp;$B$2&amp;"]"</f>
        <v>#REF!</v>
      </c>
      <c r="Z23" s="498" t="e">
        <f>"Routed Too Short  to U1 [" &amp;$B$2&amp;"]"</f>
        <v>#REF!</v>
      </c>
      <c r="AA23" s="496" t="e">
        <f>"Routed Too Long  to U1 [" &amp;$B$2&amp;"]"</f>
        <v>#REF!</v>
      </c>
      <c r="AB23" s="499" t="e">
        <f>"Total MB Length to U5 (L0+L1+L2+L5+L6-1+L7-1+L8-2+L9-2) ["&amp;$B$2&amp;"]"</f>
        <v>#REF!</v>
      </c>
      <c r="AC23" s="499" t="e">
        <f>"Total Pad to Pin U5 (P1+L0+L1+L2+L5+L6-1+L7-1+L8-2+L9-2) ["&amp;$B$2&amp;"]"</f>
        <v>#REF!</v>
      </c>
      <c r="AD23" s="496" t="e">
        <f>"Target Min Length to U5
["&amp;$B$2&amp;"]"</f>
        <v>#REF!</v>
      </c>
      <c r="AE23" s="496" t="e">
        <f>"Target Max Length  to U5 
["&amp;$B$2&amp;"]"</f>
        <v>#REF!</v>
      </c>
      <c r="AF23" s="498" t="e">
        <f>"Routed Too Short  to U5 [" &amp;$B$2&amp;"]"</f>
        <v>#REF!</v>
      </c>
      <c r="AG23" s="496" t="e">
        <f>"Routed Too Long  to U5 [" &amp;$B$2&amp;"]"</f>
        <v>#REF!</v>
      </c>
      <c r="AH23" s="500" t="e">
        <f>"L0 Length Test (&lt;=" &amp; IF($B$2="mil",1,0.0254)*50&amp;$B$2&amp;")"</f>
        <v>#REF!</v>
      </c>
      <c r="AI23" s="500" t="e">
        <f>"L1 Length Test (&lt;=" &amp; IF($B$2="mil",1,0.0254)*500&amp;$B$2&amp;")"</f>
        <v>#REF!</v>
      </c>
      <c r="AJ23" s="500" t="e">
        <f>"L3 Length Test (&lt;=" &amp; IF($B$2="mil",1,0.0254)*1000&amp;$B$2&amp;")"</f>
        <v>#REF!</v>
      </c>
      <c r="AK23" s="500" t="e">
        <f>"L4 Length Test (&lt;=" &amp; IF($B$2="mil",1,0.0254)*200&amp;$B$2&amp;") or (L3+L4&lt;= "&amp;IF($B$2="mil",1,0.0254)*1200&amp;$B$2&amp;")"</f>
        <v>#REF!</v>
      </c>
      <c r="AL23" s="500" t="e">
        <f>"L5 Length Test (&lt;=" &amp; IF($B$2="mil",1,0.0254)*1000&amp;$B$2&amp;")"</f>
        <v>#REF!</v>
      </c>
      <c r="AM23" s="500" t="e">
        <f>"L6-1 Length Test (&lt;=" &amp; IF($B$2="mil",1,0.0254)*1000&amp;$B$2&amp;")"</f>
        <v>#REF!</v>
      </c>
      <c r="AN23" s="500" t="s">
        <v>435</v>
      </c>
      <c r="AO23" s="500" t="e">
        <f>"L7-1 Length Test (&lt;=" &amp; IF($B$2="mil",1,0.0254)*1000&amp;$B$2&amp;")"</f>
        <v>#REF!</v>
      </c>
      <c r="AP23" s="500" t="e">
        <f>"Diff L7-1, L7-2, L7-3, L7-4 (&lt;="&amp;IF($B$2="mil",1,0.0254)*50&amp;$B$2&amp;")"</f>
        <v>#REF!</v>
      </c>
      <c r="AQ23" s="500" t="e">
        <f>"L8-1 Length Test (&lt;=" &amp; IF($B$2="mil",1,0.0254)*750&amp;$B$2&amp;")"</f>
        <v>#REF!</v>
      </c>
      <c r="AR23" s="500" t="e">
        <f>"L8-2 Length Test (&lt;=" &amp; IF($B$2="mil",1,0.0254)*750&amp;$B$2&amp;")"</f>
        <v>#REF!</v>
      </c>
      <c r="AS23" s="500" t="e">
        <f>"L9-1 Length Test (&lt;=" &amp; IF($B$2="mil",1,0.0254)*200&amp;$B$2&amp;") or (L8-1+L9-1&lt;= "&amp;IF($B$2="mil",1,0.0254)*950&amp;$B$2&amp;")"</f>
        <v>#REF!</v>
      </c>
      <c r="AT23" s="500" t="e">
        <f>"L9-2 Length Test (&lt;=" &amp; IF($B$2="mil",1,0.0254)*200&amp;$B$2&amp;") or (L8-2+L9-2&lt;= "&amp;IF($B$2="mil",1,0.0254)*950&amp;$B$2&amp;")"</f>
        <v>#REF!</v>
      </c>
      <c r="AU23" s="497" t="e">
        <f>"Total Length to U1 (L0+L1+L2+L5+L6-1+L7-1+L8-1+L9-1) Test
 ("&amp;IF($B$2="mil",1,0.0254)*500&amp;"-"&amp;IF($B$2="mil",1,0.0254)*6500&amp;IF($B$2="mil","mil","mm")&amp;")"</f>
        <v>#REF!</v>
      </c>
      <c r="AV23" s="497" t="e">
        <f>"Total Length to U1 (P1+L0+L1+L2+L5+L6-1+L7-1+L8-1+L9-1) Test
 (&lt;="&amp;IF($B$2="mil",1,25.4)*7000&amp;IF($B$2="mil","mil","mm")&amp;")"</f>
        <v>#REF!</v>
      </c>
      <c r="AW23" s="497" t="e">
        <f>"Total Length to U5 (L0+L1+L2+L5+L6-1+L7-1+L8-2+L9-2) Test
 ("&amp;IF($B$2="mil",1,0.0254)*500&amp;"-"&amp;IF($B$2="mil",1,0.0254)*6500&amp;IF($B$2="mil","mil","mm")&amp;")"</f>
        <v>#REF!</v>
      </c>
      <c r="AX23" s="497" t="e">
        <f>"Total Length to U5(P1+L0+L1+L2+L5+L6-1+L7-1+L8-2+L9-2) Test
 (&lt;="&amp;IF($B$2="mil",1,25.4)*7000&amp;IF($B$2="mil","mil","mm")&amp;")"</f>
        <v>#REF!</v>
      </c>
    </row>
    <row r="24" spans="1:52" s="4" customFormat="1" ht="11.25" x14ac:dyDescent="0.2">
      <c r="A24" s="140" t="s">
        <v>67</v>
      </c>
      <c r="B24" s="141"/>
      <c r="C24" s="568"/>
      <c r="D24" s="142"/>
      <c r="E24" s="143"/>
      <c r="F24" s="196"/>
      <c r="G24" s="143"/>
      <c r="H24" s="143"/>
      <c r="I24" s="144"/>
      <c r="J24" s="144"/>
      <c r="K24" s="143"/>
      <c r="L24" s="144"/>
      <c r="M24" s="143"/>
      <c r="N24" s="143"/>
      <c r="O24" s="143"/>
      <c r="P24" s="143"/>
      <c r="Q24" s="143"/>
      <c r="R24" s="143"/>
      <c r="S24" s="346"/>
      <c r="T24" s="210"/>
      <c r="U24" s="209"/>
      <c r="V24" s="486"/>
      <c r="W24" s="502" t="s">
        <v>272</v>
      </c>
      <c r="X24" s="529" t="e">
        <f>MIN('DDR2 Clocks - 4L'!$O$5:$O$6)</f>
        <v>#REF!</v>
      </c>
      <c r="Y24" s="484" t="e">
        <f>MAX('DDR2 Clocks - 4L'!$O$5:$O$6)</f>
        <v>#REF!</v>
      </c>
      <c r="Z24" s="529"/>
      <c r="AA24" s="486"/>
      <c r="AB24" s="483"/>
      <c r="AC24" s="502" t="s">
        <v>332</v>
      </c>
      <c r="AD24" s="529" t="e">
        <f>MIN('DDR2 Clocks - 4L'!$O$7:$O$8)</f>
        <v>#REF!</v>
      </c>
      <c r="AE24" s="486" t="e">
        <f>MAX('DDR2 Clocks - 4L'!$O$7:$O$8)</f>
        <v>#REF!</v>
      </c>
      <c r="AF24" s="483"/>
      <c r="AG24" s="484"/>
      <c r="AH24" s="483"/>
      <c r="AI24" s="483"/>
      <c r="AJ24" s="483"/>
      <c r="AK24" s="483"/>
      <c r="AL24" s="483"/>
      <c r="AM24" s="483"/>
      <c r="AN24" s="483"/>
      <c r="AO24" s="483"/>
      <c r="AP24" s="483"/>
      <c r="AQ24" s="483"/>
      <c r="AR24" s="483"/>
      <c r="AS24" s="483"/>
      <c r="AT24" s="483"/>
      <c r="AU24" s="483"/>
      <c r="AV24" s="483"/>
      <c r="AW24" s="483"/>
      <c r="AX24" s="484"/>
    </row>
    <row r="25" spans="1:52" s="4" customFormat="1" ht="11.25" x14ac:dyDescent="0.2">
      <c r="A25" s="134" t="s">
        <v>426</v>
      </c>
      <c r="B25" s="134"/>
      <c r="C25" s="566"/>
      <c r="D25" s="155"/>
      <c r="E25" s="134"/>
      <c r="F25" s="181"/>
      <c r="G25" s="298"/>
      <c r="H25" s="298"/>
      <c r="I25" s="299"/>
      <c r="J25" s="298"/>
      <c r="K25" s="298"/>
      <c r="L25" s="298"/>
      <c r="M25" s="298"/>
      <c r="N25" s="298"/>
      <c r="O25" s="159"/>
      <c r="P25" s="159"/>
      <c r="Q25" s="298"/>
      <c r="R25" s="298"/>
      <c r="S25" s="298"/>
      <c r="T25" s="298"/>
      <c r="U25" s="388"/>
      <c r="V25" s="388"/>
      <c r="W25" s="244"/>
      <c r="X25" s="155"/>
      <c r="Y25" s="514"/>
      <c r="Z25" s="476"/>
      <c r="AA25" s="155"/>
      <c r="AB25" s="155"/>
      <c r="AC25" s="155"/>
      <c r="AD25" s="155"/>
      <c r="AE25" s="155"/>
      <c r="AF25" s="155"/>
      <c r="AG25" s="155"/>
      <c r="AH25" s="385"/>
      <c r="AI25" s="385"/>
      <c r="AJ25" s="493"/>
      <c r="AK25" s="155"/>
      <c r="AL25" s="155"/>
      <c r="AM25" s="155"/>
      <c r="AN25" s="155"/>
      <c r="AO25" s="155"/>
      <c r="AP25" s="155"/>
      <c r="AQ25" s="155"/>
      <c r="AR25" s="155"/>
      <c r="AS25" s="155"/>
      <c r="AT25" s="155"/>
      <c r="AU25" s="155"/>
      <c r="AV25" s="155"/>
      <c r="AW25" s="155"/>
      <c r="AX25" s="494"/>
    </row>
    <row r="26" spans="1:52" s="4" customFormat="1" x14ac:dyDescent="0.2">
      <c r="A26" s="503" t="s">
        <v>74</v>
      </c>
      <c r="B26" s="434" t="s">
        <v>496</v>
      </c>
      <c r="C26" s="562">
        <v>526.57480314960628</v>
      </c>
      <c r="D26" s="164"/>
      <c r="E26" s="199">
        <v>29.7</v>
      </c>
      <c r="F26" s="199">
        <v>0</v>
      </c>
      <c r="G26" s="270">
        <v>2550.64</v>
      </c>
      <c r="H26" s="270">
        <v>107.82</v>
      </c>
      <c r="I26" s="295"/>
      <c r="J26" s="294">
        <v>0</v>
      </c>
      <c r="K26" s="297">
        <v>40</v>
      </c>
      <c r="L26" s="296"/>
      <c r="M26" s="297">
        <v>600</v>
      </c>
      <c r="N26" s="363">
        <v>40.28</v>
      </c>
      <c r="O26" s="212"/>
      <c r="P26" s="363">
        <v>40.28</v>
      </c>
      <c r="Q26" s="270">
        <v>565.69000000000005</v>
      </c>
      <c r="R26" s="270">
        <v>100.03</v>
      </c>
      <c r="S26" s="270">
        <v>100.03</v>
      </c>
      <c r="T26" s="364">
        <v>50</v>
      </c>
      <c r="U26" s="364">
        <v>50</v>
      </c>
      <c r="V26" s="490">
        <f>SUM($E26:$G26,$M26,$Q26:$R26,$N26,$T26)</f>
        <v>3936.34</v>
      </c>
      <c r="W26" s="469" t="e">
        <f>$V26+IF($B$2="mil",1,0.0254)*$C26</f>
        <v>#REF!</v>
      </c>
      <c r="X26" s="469" t="e">
        <f>$Y$18 + IF($B$2="mil",1,0.0254)*DDR2Specs!$E$9</f>
        <v>#REF!</v>
      </c>
      <c r="Y26" s="492" t="e">
        <f>$X$18 + IF($B$2="mil",1,0.0254)*DDR2Specs!$F$9</f>
        <v>#REF!</v>
      </c>
      <c r="Z26" s="491" t="e">
        <f>IF($W26&lt;$X26,$X26-$W26,"Pass")</f>
        <v>#REF!</v>
      </c>
      <c r="AA26" s="492" t="e">
        <f>IF($W26&gt;$Y26,$W26-$Y26,"Pass")</f>
        <v>#REF!</v>
      </c>
      <c r="AB26" s="490">
        <f>SUM($E26:$G26,$M26,$Q26,$N26,$S26,U26)</f>
        <v>3936.34</v>
      </c>
      <c r="AC26" s="469" t="e">
        <f>$AB26+IF($B$2="mil",1,0.0254)*$C26</f>
        <v>#REF!</v>
      </c>
      <c r="AD26" s="469" t="e">
        <f>$AE$18 + IF($B$2="mil",1,0.0254)*DDR2Specs!$E$9</f>
        <v>#REF!</v>
      </c>
      <c r="AE26" s="469" t="e">
        <f>$AD$18 + IF($B$2="mil",1,0.0254)*DDR2Specs!$F$9</f>
        <v>#REF!</v>
      </c>
      <c r="AF26" s="491" t="e">
        <f>IF($AC26&lt;$AD26,$AD26-$AC26,"Pass")</f>
        <v>#REF!</v>
      </c>
      <c r="AG26" s="492" t="e">
        <f>IF($AC26&gt;$AE26,$AC26-$AE26,"Pass")</f>
        <v>#REF!</v>
      </c>
      <c r="AH26" s="472" t="e">
        <f>IF($E26&lt;=IF($B$2="mil",1,0.0254)*50,"Pass",IF($B$2="mil",1,0.0254)*50-$E26)</f>
        <v>#REF!</v>
      </c>
      <c r="AI26" s="473" t="e">
        <f>IF($F26&lt;=IF($B$2="mil",1,0.0254)*500,"Pass",IF($B$2="mil",1,0.0254)*500-$F26)</f>
        <v>#REF!</v>
      </c>
      <c r="AJ26" s="473" t="e">
        <f>IF($J26&lt;=IF($B$2="mil",1,0.0254)*1000,"Pass",IF($B$2="mil",1,0.0254)*1000-$J26)</f>
        <v>#REF!</v>
      </c>
      <c r="AK26" s="473" t="e">
        <f ca="1">CheckLength2(IF($B$2="mil",1,0.0254)*1200,J26,K26,0)</f>
        <v>#NAME?</v>
      </c>
      <c r="AL26" s="473" t="e">
        <f t="shared" ref="AL26:AM28" si="3">IF(M26&lt;=IF($B$2="mil",1,0.0254)*1000,"Pass",IF($B$2="mil",1,0.0254)*1000-M26)</f>
        <v>#REF!</v>
      </c>
      <c r="AM26" s="473" t="e">
        <f t="shared" si="3"/>
        <v>#REF!</v>
      </c>
      <c r="AN26" s="473" t="e">
        <f>IF(MAX(N26,P26)-MIN(N26,P26)&lt;=IF($B$2="mil",1,0.0254)*50,"Pass",MAX(N26,P26)-MIN(N26,P26)-IF($B$2="mil",1,0.0254)*50)</f>
        <v>#REF!</v>
      </c>
      <c r="AO26" s="473" t="e">
        <f>IF($Q26&lt;=IF($B$2="mil",1,0.0254)*1000,"Pass",IF($B$2="mil",1,0.0254)*1000-$Q26)</f>
        <v>#REF!</v>
      </c>
      <c r="AP26" s="473" t="e">
        <f>IF(MAX(Q26,Q39,Q52,Q65)-MIN(Q26,Q39,Q52,Q65)&lt;=IF($B$2="mil",1,0.0254)*50,"Pass",MAX(Q26,Q39,Q52,Q65)-MIN(Q26,Q39,Q52,Q65)-IF($B$2="mil",1,0.0254)*50)</f>
        <v>#REF!</v>
      </c>
      <c r="AQ26" s="473" t="e">
        <f>IF($R26&lt;=IF($B$2="mil",1,0.0254)*750,"Pass",IF($B$2="mil",1,0.0254)*750-$R26)</f>
        <v>#REF!</v>
      </c>
      <c r="AR26" s="473" t="e">
        <f>IF($S26&lt;=IF($B$2="mil",1,0.0254)*750,"Pass",IF($B$2="mil",1,0.0254)*750-$S26)</f>
        <v>#REF!</v>
      </c>
      <c r="AS26" s="473" t="e">
        <f t="shared" ref="AS26:AT28" ca="1" si="4">CheckLength2(IF($B$2="mil",1,0.0254)*950,R26,T26,0)</f>
        <v>#NAME?</v>
      </c>
      <c r="AT26" s="473" t="e">
        <f t="shared" ca="1" si="4"/>
        <v>#NAME?</v>
      </c>
      <c r="AU26" s="473" t="e">
        <f>IF(AND($V26&gt;=IF($B$2="mil",1,0.0254)*500, $V26&lt;=IF($B$2="mil",1,0.0254)*6500),"Pass",IF($B$2="mil",1,0.0254)*6500-$V26)</f>
        <v>#REF!</v>
      </c>
      <c r="AV26" s="473" t="e">
        <f>IF(AND($W26&gt;=IF($B$2="mil",1,0.0254)*500, $W26&lt;=IF($B$2="mil",1,0.0254)*7000),"Pass",IF($B$2="mil",1,0.0254)*7000-$W26)</f>
        <v>#REF!</v>
      </c>
      <c r="AW26" s="473" t="e">
        <f>IF(AND($AB26&gt;=IF($B$2="mil",1,0.0254)*500, $AB26&lt;=IF($B$2="mil",1,0.0254)*6500),"Pass",IF($B$2="mil",1,0.0254)*6500-$AB26)</f>
        <v>#REF!</v>
      </c>
      <c r="AX26" s="474" t="e">
        <f>IF(AND($AC26&gt;=IF($B$2="mil",1,0.0254)*500, $AC26&lt;=IF($B$2="mil",1,0.0254)*7000),"Pass",IF($B$2="mil",1,0.0254)*7000-$AC26)</f>
        <v>#REF!</v>
      </c>
      <c r="AY26" s="4" t="e">
        <f t="shared" ca="1" si="2"/>
        <v>#REF!</v>
      </c>
      <c r="AZ26" s="4" t="e">
        <f ca="1">IF(AND(AY26="Pass",AY27="Pass",AY28="Pass"),"Pass","Fail")</f>
        <v>#REF!</v>
      </c>
    </row>
    <row r="27" spans="1:52" s="4" customFormat="1" x14ac:dyDescent="0.2">
      <c r="A27" s="503" t="s">
        <v>76</v>
      </c>
      <c r="B27" s="573" t="s">
        <v>382</v>
      </c>
      <c r="C27" s="562">
        <v>400</v>
      </c>
      <c r="D27" s="236"/>
      <c r="E27" s="199">
        <v>29.7</v>
      </c>
      <c r="F27" s="286">
        <v>0</v>
      </c>
      <c r="G27" s="270">
        <v>2422.4699999999998</v>
      </c>
      <c r="H27" s="270">
        <v>125.94</v>
      </c>
      <c r="I27" s="295"/>
      <c r="J27" s="301">
        <v>0</v>
      </c>
      <c r="K27" s="297">
        <v>37.5</v>
      </c>
      <c r="L27" s="296"/>
      <c r="M27" s="297">
        <v>600</v>
      </c>
      <c r="N27" s="363">
        <v>313.86</v>
      </c>
      <c r="O27" s="212"/>
      <c r="P27" s="363">
        <v>313.86</v>
      </c>
      <c r="Q27" s="270">
        <v>587.88</v>
      </c>
      <c r="R27" s="270">
        <v>85.04</v>
      </c>
      <c r="S27" s="270">
        <v>85.04</v>
      </c>
      <c r="T27" s="364">
        <v>50</v>
      </c>
      <c r="U27" s="364">
        <v>50</v>
      </c>
      <c r="V27" s="490">
        <f>SUM($E27:$G27,$M27,$Q27:$R27,$N27,$T27)</f>
        <v>4088.95</v>
      </c>
      <c r="W27" s="469" t="e">
        <f>$V27+IF($B$2="mil",1,0.0254)*$C27</f>
        <v>#REF!</v>
      </c>
      <c r="X27" s="469" t="e">
        <f>$Y$18 + IF($B$2="mil",1,0.0254)*DDR2Specs!$E$9</f>
        <v>#REF!</v>
      </c>
      <c r="Y27" s="492" t="e">
        <f>$X$18 + IF($B$2="mil",1,0.0254)*DDR2Specs!$F$9</f>
        <v>#REF!</v>
      </c>
      <c r="Z27" s="491" t="e">
        <f>IF($W27&lt;$X27,$X27-$W27,"Pass")</f>
        <v>#REF!</v>
      </c>
      <c r="AA27" s="492" t="e">
        <f>IF($W27&gt;$Y27,$W27-$Y27,"Pass")</f>
        <v>#REF!</v>
      </c>
      <c r="AB27" s="490">
        <f>SUM($E27:$G27,$M27,$Q27,$N27,$S27,U27)</f>
        <v>4088.95</v>
      </c>
      <c r="AC27" s="469" t="e">
        <f>$AB27+IF($B$2="mil",1,0.0254)*$C27</f>
        <v>#REF!</v>
      </c>
      <c r="AD27" s="469" t="e">
        <f>$AE$18 + IF($B$2="mil",1,0.0254)*DDR2Specs!$E$9</f>
        <v>#REF!</v>
      </c>
      <c r="AE27" s="469" t="e">
        <f>$AD$18 + IF($B$2="mil",1,0.0254)*DDR2Specs!$F$9</f>
        <v>#REF!</v>
      </c>
      <c r="AF27" s="491" t="e">
        <f>IF($AC27&lt;$AD27,$AD27-$AC27,"Pass")</f>
        <v>#REF!</v>
      </c>
      <c r="AG27" s="492" t="e">
        <f>IF($AC27&gt;$AE27,$AC27-$AE27,"Pass")</f>
        <v>#REF!</v>
      </c>
      <c r="AH27" s="472" t="e">
        <f>IF($E27&lt;=IF($B$2="mil",1,0.0254)*50,"Pass",IF($B$2="mil",1,0.0254)*50-$E27)</f>
        <v>#REF!</v>
      </c>
      <c r="AI27" s="473" t="e">
        <f>IF($F27&lt;=IF($B$2="mil",1,0.0254)*500,"Pass",IF($B$2="mil",1,0.0254)*500-$F27)</f>
        <v>#REF!</v>
      </c>
      <c r="AJ27" s="473" t="e">
        <f>IF($J27&lt;=IF($B$2="mil",1,0.0254)*1000,"Pass",IF($B$2="mil",1,0.0254)*1000-$J27)</f>
        <v>#REF!</v>
      </c>
      <c r="AK27" s="473" t="e">
        <f ca="1">CheckLength2(IF($B$2="mil",1,0.0254)*1200,J27,K27,0)</f>
        <v>#NAME?</v>
      </c>
      <c r="AL27" s="473" t="e">
        <f t="shared" si="3"/>
        <v>#REF!</v>
      </c>
      <c r="AM27" s="473" t="e">
        <f t="shared" si="3"/>
        <v>#REF!</v>
      </c>
      <c r="AN27" s="473" t="e">
        <f>IF(MAX(N27,P27)-MIN(N27,P27)&lt;=IF($B$2="mil",1,0.0254)*50,"Pass",MAX(N27,P27)-MIN(N27,P27)-IF($B$2="mil",1,0.0254)*50)</f>
        <v>#REF!</v>
      </c>
      <c r="AO27" s="473" t="e">
        <f>IF($Q27&lt;=IF($B$2="mil",1,0.0254)*1000,"Pass",IF($B$2="mil",1,0.0254)*1000-$Q27)</f>
        <v>#REF!</v>
      </c>
      <c r="AP27" s="473" t="e">
        <f>IF(MAX(Q27,Q40,Q53,Q66)-MIN(Q27,Q40,Q53,Q66)&lt;=IF($B$2="mil",1,0.0254)*50,"Pass",MAX(Q27,Q40,Q53,Q66)-MIN(Q27,Q40,Q53,Q66)-IF($B$2="mil",1,0.0254)*50)</f>
        <v>#REF!</v>
      </c>
      <c r="AQ27" s="473" t="e">
        <f>IF($R27&lt;=IF($B$2="mil",1,0.0254)*750,"Pass",IF($B$2="mil",1,0.0254)*750-$R27)</f>
        <v>#REF!</v>
      </c>
      <c r="AR27" s="473" t="e">
        <f>IF($S27&lt;=IF($B$2="mil",1,0.0254)*750,"Pass",IF($B$2="mil",1,0.0254)*750-$S27)</f>
        <v>#REF!</v>
      </c>
      <c r="AS27" s="473" t="e">
        <f t="shared" ca="1" si="4"/>
        <v>#NAME?</v>
      </c>
      <c r="AT27" s="473" t="e">
        <f t="shared" ca="1" si="4"/>
        <v>#NAME?</v>
      </c>
      <c r="AU27" s="473" t="e">
        <f>IF(AND($V27&gt;=IF($B$2="mil",1,0.0254)*500, $V27&lt;=IF($B$2="mil",1,0.0254)*6500),"Pass",IF($B$2="mil",1,0.0254)*6500-$V27)</f>
        <v>#REF!</v>
      </c>
      <c r="AV27" s="473" t="e">
        <f>IF(AND($W27&gt;=IF($B$2="mil",1,0.0254)*500, $W27&lt;=IF($B$2="mil",1,0.0254)*7000),"Pass",IF($B$2="mil",1,0.0254)*7000-$W27)</f>
        <v>#REF!</v>
      </c>
      <c r="AW27" s="473" t="e">
        <f>IF(AND($AB27&gt;=IF($B$2="mil",1,0.0254)*500, $AB27&lt;=IF($B$2="mil",1,0.0254)*6500),"Pass",IF($B$2="mil",1,0.0254)*6500-$AB27)</f>
        <v>#REF!</v>
      </c>
      <c r="AX27" s="474" t="e">
        <f>IF(AND($AC27&gt;=IF($B$2="mil",1,0.0254)*500, $AC27&lt;=IF($B$2="mil",1,0.0254)*7000),"Pass",IF($B$2="mil",1,0.0254)*7000-$AC27)</f>
        <v>#REF!</v>
      </c>
      <c r="AY27" s="4" t="e">
        <f t="shared" ca="1" si="2"/>
        <v>#REF!</v>
      </c>
    </row>
    <row r="28" spans="1:52" s="4" customFormat="1" x14ac:dyDescent="0.2">
      <c r="A28" s="503" t="s">
        <v>78</v>
      </c>
      <c r="B28" s="573" t="s">
        <v>369</v>
      </c>
      <c r="C28" s="562">
        <v>602.91338582677167</v>
      </c>
      <c r="D28" s="390"/>
      <c r="E28" s="199">
        <v>29.7</v>
      </c>
      <c r="F28" s="286">
        <v>0</v>
      </c>
      <c r="G28" s="270">
        <v>2101.89</v>
      </c>
      <c r="H28" s="270">
        <v>125.94</v>
      </c>
      <c r="I28" s="295"/>
      <c r="J28" s="301">
        <v>0</v>
      </c>
      <c r="K28" s="297">
        <v>40</v>
      </c>
      <c r="L28" s="296"/>
      <c r="M28" s="297">
        <v>600</v>
      </c>
      <c r="N28" s="363">
        <v>477.88</v>
      </c>
      <c r="O28" s="212"/>
      <c r="P28" s="363">
        <v>477.88</v>
      </c>
      <c r="Q28" s="270">
        <v>565.69000000000005</v>
      </c>
      <c r="R28" s="270">
        <v>99.56</v>
      </c>
      <c r="S28" s="270">
        <v>99.56</v>
      </c>
      <c r="T28" s="364">
        <v>50</v>
      </c>
      <c r="U28" s="364">
        <v>50</v>
      </c>
      <c r="V28" s="490">
        <f>SUM($E28:$G28,$M28,$Q28:$R28,$N28,$T28)</f>
        <v>3924.72</v>
      </c>
      <c r="W28" s="469" t="e">
        <f>$V28+IF($B$2="mil",1,0.0254)*$C28</f>
        <v>#REF!</v>
      </c>
      <c r="X28" s="469" t="e">
        <f>$Y$18 + IF($B$2="mil",1,0.0254)*DDR2Specs!$E$9</f>
        <v>#REF!</v>
      </c>
      <c r="Y28" s="492" t="e">
        <f>$X$18 + IF($B$2="mil",1,0.0254)*DDR2Specs!$F$9</f>
        <v>#REF!</v>
      </c>
      <c r="Z28" s="491" t="e">
        <f>IF($W28&lt;$X28,$X28-$W28,"Pass")</f>
        <v>#REF!</v>
      </c>
      <c r="AA28" s="492" t="e">
        <f>IF($W28&gt;$Y28,$W28-$Y28,"Pass")</f>
        <v>#REF!</v>
      </c>
      <c r="AB28" s="490">
        <f>SUM($E28:$G28,$M28,$Q28,$N28,$S28,U28)</f>
        <v>3924.72</v>
      </c>
      <c r="AC28" s="469" t="e">
        <f>$AB28+IF($B$2="mil",1,0.0254)*$C28</f>
        <v>#REF!</v>
      </c>
      <c r="AD28" s="469" t="e">
        <f>$AE$18 + IF($B$2="mil",1,0.0254)*DDR2Specs!$E$9</f>
        <v>#REF!</v>
      </c>
      <c r="AE28" s="469" t="e">
        <f>$AD$18 + IF($B$2="mil",1,0.0254)*DDR2Specs!$F$9</f>
        <v>#REF!</v>
      </c>
      <c r="AF28" s="491" t="e">
        <f>IF($AC28&lt;$AD28,$AD28-$AC28,"Pass")</f>
        <v>#REF!</v>
      </c>
      <c r="AG28" s="492" t="e">
        <f>IF($AC28&gt;$AE28,$AC28-$AE28,"Pass")</f>
        <v>#REF!</v>
      </c>
      <c r="AH28" s="472" t="e">
        <f>IF($E28&lt;=IF($B$2="mil",1,0.0254)*50,"Pass",IF($B$2="mil",1,0.0254)*50-$E28)</f>
        <v>#REF!</v>
      </c>
      <c r="AI28" s="473" t="e">
        <f>IF($F28&lt;=IF($B$2="mil",1,0.0254)*500,"Pass",IF($B$2="mil",1,0.0254)*500-$F28)</f>
        <v>#REF!</v>
      </c>
      <c r="AJ28" s="473" t="e">
        <f>IF($J28&lt;=IF($B$2="mil",1,0.0254)*1000,"Pass",IF($B$2="mil",1,0.0254)*1000-$J28)</f>
        <v>#REF!</v>
      </c>
      <c r="AK28" s="473" t="e">
        <f ca="1">CheckLength2(IF($B$2="mil",1,0.0254)*1200,J28,K28,0)</f>
        <v>#NAME?</v>
      </c>
      <c r="AL28" s="473" t="e">
        <f t="shared" si="3"/>
        <v>#REF!</v>
      </c>
      <c r="AM28" s="473" t="e">
        <f t="shared" si="3"/>
        <v>#REF!</v>
      </c>
      <c r="AN28" s="473" t="e">
        <f>IF(MAX(N28,P28)-MIN(N28,P28)&lt;=IF($B$2="mil",1,0.0254)*50,"Pass",MAX(N28,P28)-MIN(N28,P28)-IF($B$2="mil",1,0.0254)*50)</f>
        <v>#REF!</v>
      </c>
      <c r="AO28" s="473" t="e">
        <f>IF($Q28&lt;=IF($B$2="mil",1,0.0254)*1000,"Pass",IF($B$2="mil",1,0.0254)*1000-$Q28)</f>
        <v>#REF!</v>
      </c>
      <c r="AP28" s="473" t="e">
        <f>IF(MAX(Q28,Q41,Q54,Q67)-MIN(Q28,Q41,Q54,Q67)&lt;=IF($B$2="mil",1,0.0254)*50,"Pass",MAX(Q28,Q41,Q54,Q67)-MIN(Q28,Q41,Q54,Q67)-IF($B$2="mil",1,0.0254)*50)</f>
        <v>#REF!</v>
      </c>
      <c r="AQ28" s="473" t="e">
        <f>IF($R28&lt;=IF($B$2="mil",1,0.0254)*750,"Pass",IF($B$2="mil",1,0.0254)*750-$R28)</f>
        <v>#REF!</v>
      </c>
      <c r="AR28" s="473" t="e">
        <f>IF($S28&lt;=IF($B$2="mil",1,0.0254)*750,"Pass",IF($B$2="mil",1,0.0254)*750-$S28)</f>
        <v>#REF!</v>
      </c>
      <c r="AS28" s="473" t="e">
        <f t="shared" ca="1" si="4"/>
        <v>#NAME?</v>
      </c>
      <c r="AT28" s="473" t="e">
        <f t="shared" ca="1" si="4"/>
        <v>#NAME?</v>
      </c>
      <c r="AU28" s="473" t="e">
        <f>IF(AND($V28&gt;=IF($B$2="mil",1,0.0254)*500, $V28&lt;=IF($B$2="mil",1,0.0254)*6500),"Pass",IF($B$2="mil",1,0.0254)*6500-$V28)</f>
        <v>#REF!</v>
      </c>
      <c r="AV28" s="473" t="e">
        <f>IF(AND($W28&gt;=IF($B$2="mil",1,0.0254)*500, $W28&lt;=IF($B$2="mil",1,0.0254)*7000),"Pass",IF($B$2="mil",1,0.0254)*7000-$W28)</f>
        <v>#REF!</v>
      </c>
      <c r="AW28" s="473" t="e">
        <f>IF(AND($AB28&gt;=IF($B$2="mil",1,0.0254)*500, $AB28&lt;=IF($B$2="mil",1,0.0254)*6500),"Pass",IF($B$2="mil",1,0.0254)*6500-$AB28)</f>
        <v>#REF!</v>
      </c>
      <c r="AX28" s="474" t="e">
        <f>IF(AND($AC28&gt;=IF($B$2="mil",1,0.0254)*500, $AC28&lt;=IF($B$2="mil",1,0.0254)*7000),"Pass",IF($B$2="mil",1,0.0254)*7000-$AC28)</f>
        <v>#REF!</v>
      </c>
      <c r="AY28" s="4" t="e">
        <f t="shared" ca="1" si="2"/>
        <v>#REF!</v>
      </c>
    </row>
    <row r="29" spans="1:52" ht="22.5" x14ac:dyDescent="0.2">
      <c r="O29" s="2"/>
      <c r="P29" s="192" t="s">
        <v>494</v>
      </c>
      <c r="Q29" s="123" t="e">
        <f>"Trace L7-2 ["&amp;$B$2&amp;"]"</f>
        <v>#REF!</v>
      </c>
      <c r="R29" s="290" t="s">
        <v>437</v>
      </c>
      <c r="S29" s="290" t="s">
        <v>438</v>
      </c>
      <c r="T29" s="290" t="s">
        <v>454</v>
      </c>
      <c r="U29" s="290" t="s">
        <v>455</v>
      </c>
      <c r="V29" s="495" t="e">
        <f>"Total MB Length to U2 (L0+L1+L2+L5+L6-1+L7-2+L8-3+L9-3) ["&amp;$B$2&amp;"]"</f>
        <v>#REF!</v>
      </c>
      <c r="W29" s="495" t="e">
        <f>"Total Pad to Pin U2 (P1+L0+L1+L2+L5+L6-1+L7-3+L8-3+L9-3) ["&amp;$B$2&amp;"]"</f>
        <v>#REF!</v>
      </c>
      <c r="X29" s="496" t="e">
        <f>"Target Min Length to U2
["&amp;$B$2&amp;"]"</f>
        <v>#REF!</v>
      </c>
      <c r="Y29" s="497" t="e">
        <f>"Target Max Length to U2 
["&amp;$B$2&amp;"]"</f>
        <v>#REF!</v>
      </c>
      <c r="Z29" s="498" t="e">
        <f>"Routed Too Short to U2 [" &amp;$B$2&amp;"]"</f>
        <v>#REF!</v>
      </c>
      <c r="AA29" s="496" t="e">
        <f>"Routed Too Long to U2 [" &amp;$B$2&amp;"]"</f>
        <v>#REF!</v>
      </c>
      <c r="AB29" s="495" t="e">
        <f>"Total MB Length to U6 (L0+L1+L2+L5+L6-1+L7-2+L8-4+L9-4) ["&amp;$B$2&amp;"]"</f>
        <v>#REF!</v>
      </c>
      <c r="AC29" s="495" t="e">
        <f>"Total Pad to Pin U6 (P1+L0+L1+L2+L5+L6-1+L7-2+L8-4+L9-4) ["&amp;$B$2&amp;"]"</f>
        <v>#REF!</v>
      </c>
      <c r="AD29" s="496" t="e">
        <f>"Target Min Length to U6
["&amp;$B$2&amp;"]"</f>
        <v>#REF!</v>
      </c>
      <c r="AE29" s="497" t="e">
        <f>"Target Max Length to U6 
["&amp;$B$2&amp;"]"</f>
        <v>#REF!</v>
      </c>
      <c r="AF29" s="498" t="e">
        <f>"Routed Too Short to U6 [" &amp;$B$2&amp;"]"</f>
        <v>#REF!</v>
      </c>
      <c r="AG29" s="496" t="e">
        <f>"Routed Too Long to U6 [" &amp;$B$2&amp;"]"</f>
        <v>#REF!</v>
      </c>
      <c r="AH29" s="2"/>
      <c r="AI29" s="2"/>
      <c r="AJ29" s="2"/>
      <c r="AK29" s="2"/>
      <c r="AL29" s="2"/>
      <c r="AM29" s="2"/>
      <c r="AN29" s="499" t="s">
        <v>494</v>
      </c>
      <c r="AO29" s="497" t="e">
        <f>"L7-2 Length Test (&lt;=" &amp; IF($B$2="mil",1,0.0254)*1000&amp;$B$2&amp;")"</f>
        <v>#REF!</v>
      </c>
      <c r="AQ29" s="500" t="e">
        <f>"L8-3 Length Test (&lt;=" &amp; IF($B$2="mil",1,0.0254)*750&amp;$B$2&amp;")"</f>
        <v>#REF!</v>
      </c>
      <c r="AR29" s="500" t="e">
        <f>"L8-4 Length Test (&lt;=" &amp; IF($B$2="mil",1,0.0254)*750&amp;$B$2&amp;")"</f>
        <v>#REF!</v>
      </c>
      <c r="AS29" s="500" t="e">
        <f>"L9-3 Length Test (&lt;=" &amp; IF($B$2="mil",1,0.0254)*200&amp;$B$2&amp;") or (L8-3+L9-3&lt;= "&amp;IF($B$2="mil",1,0.0254)*950&amp;$B$2&amp;")"</f>
        <v>#REF!</v>
      </c>
      <c r="AT29" s="500" t="e">
        <f>"L9-4 Length Test (&lt;=" &amp; IF($B$2="mil",1,0.0254)*200&amp;$B$2&amp;") or (L8-4+L9-4&lt;= "&amp;IF($B$2="mil",1,0.0254)*950&amp;$B$2&amp;")"</f>
        <v>#REF!</v>
      </c>
      <c r="AU29" s="497" t="e">
        <f>"Total Length to U2 (L0+L1+L2+L5+L6-1+L7-2+L8-3+L9-3)Test
 ("&amp;IF($B$2="mil",1,0.0254)*500&amp;"-"&amp;IF($B$2="mil",1,0.0254)*6500&amp;IF($B$2="mil","mil","mm")&amp;")"</f>
        <v>#REF!</v>
      </c>
      <c r="AV29" s="497" t="e">
        <f>"Total Length to U2 (P1+L0+L1+L2+L5+L6-1+L7-2+L8-3+L9-3) Test
 (&lt;="&amp;IF($B$2="mil",1,25.4)*7000&amp;IF($B$2="mil","mil","mm")&amp;")"</f>
        <v>#REF!</v>
      </c>
      <c r="AW29" s="497" t="e">
        <f>"Total Length to U6 (L0+L1+L2+L5+L6-1+L7-2+L8-4+L9-4)Test
 ("&amp;IF($B$2="mil",1,0.0254)*500&amp;"-"&amp;IF($B$2="mil",1,0.0254)*6500&amp;IF($B$2="mil","mil","mm")&amp;")"</f>
        <v>#REF!</v>
      </c>
      <c r="AX29" s="497" t="e">
        <f>"Total Length to U6 (P1+L0+L1+L2+L5+L6-1+L7-2+L8-4+L9-4) Test
 (&lt;="&amp;IF($B$2="mil",1,25.4)*7000&amp;IF($B$2="mil","mil","mm")&amp;")"</f>
        <v>#REF!</v>
      </c>
      <c r="AY29" s="2"/>
      <c r="AZ29" s="2"/>
    </row>
    <row r="30" spans="1:52" x14ac:dyDescent="0.2">
      <c r="O30" s="2"/>
      <c r="P30" s="134" t="s">
        <v>258</v>
      </c>
      <c r="Q30" s="135"/>
      <c r="R30" s="135"/>
      <c r="S30" s="135"/>
      <c r="T30" s="135"/>
      <c r="U30" s="135"/>
      <c r="V30" s="135"/>
      <c r="W30" s="135"/>
      <c r="X30" s="135"/>
      <c r="Y30" s="385"/>
      <c r="Z30" s="135"/>
      <c r="AA30" s="135"/>
      <c r="AB30" s="135"/>
      <c r="AC30" s="135"/>
      <c r="AD30" s="135"/>
      <c r="AE30" s="135"/>
      <c r="AF30" s="135"/>
      <c r="AG30" s="501"/>
      <c r="AH30" s="2"/>
      <c r="AI30" s="2"/>
      <c r="AJ30" s="2"/>
      <c r="AK30" s="2"/>
      <c r="AL30" s="2"/>
      <c r="AM30" s="2"/>
      <c r="AN30" s="134" t="s">
        <v>258</v>
      </c>
      <c r="AO30" s="501"/>
      <c r="AQ30" s="430"/>
      <c r="AR30" s="135"/>
      <c r="AS30" s="135"/>
      <c r="AT30" s="135"/>
      <c r="AU30" s="135"/>
      <c r="AV30" s="135"/>
      <c r="AW30" s="135"/>
      <c r="AX30" s="501"/>
      <c r="AY30" s="2"/>
      <c r="AZ30" s="2"/>
    </row>
    <row r="31" spans="1:52" x14ac:dyDescent="0.2">
      <c r="O31" s="2"/>
      <c r="P31" s="235" t="s">
        <v>262</v>
      </c>
      <c r="Q31" s="143"/>
      <c r="R31" s="143"/>
      <c r="S31" s="143"/>
      <c r="T31" s="143"/>
      <c r="U31" s="143"/>
      <c r="V31" s="143"/>
      <c r="W31" s="502" t="s">
        <v>275</v>
      </c>
      <c r="X31" s="487" t="e">
        <f>MIN('DDR2 Clocks - 4L'!$O$9:$O$10)</f>
        <v>#REF!</v>
      </c>
      <c r="Y31" s="484" t="e">
        <f>MAX('DDR2 Clocks - 4L'!$O$9:$O$10)</f>
        <v>#REF!</v>
      </c>
      <c r="Z31" s="487"/>
      <c r="AA31" s="145"/>
      <c r="AB31" s="143"/>
      <c r="AC31" s="502" t="s">
        <v>333</v>
      </c>
      <c r="AD31" s="487" t="e">
        <f>MIN('DDR2 Clocks - 4L'!$O$11:$O$12)</f>
        <v>#REF!</v>
      </c>
      <c r="AE31" s="486" t="e">
        <f>MAX('DDR2 Clocks - 4L'!$O$11:$O$12)</f>
        <v>#REF!</v>
      </c>
      <c r="AF31" s="487"/>
      <c r="AG31" s="145"/>
      <c r="AH31" s="2"/>
      <c r="AI31" s="2"/>
      <c r="AJ31" s="2"/>
      <c r="AK31" s="2"/>
      <c r="AL31" s="2"/>
      <c r="AM31" s="2"/>
      <c r="AN31" s="140" t="s">
        <v>262</v>
      </c>
      <c r="AO31" s="484"/>
      <c r="AQ31" s="483"/>
      <c r="AR31" s="483"/>
      <c r="AS31" s="483"/>
      <c r="AT31" s="483"/>
      <c r="AU31" s="483"/>
      <c r="AV31" s="483"/>
      <c r="AW31" s="483"/>
      <c r="AX31" s="484"/>
      <c r="AY31" s="2"/>
      <c r="AZ31" s="2"/>
    </row>
    <row r="32" spans="1:52" x14ac:dyDescent="0.2">
      <c r="O32" s="2"/>
      <c r="P32" s="134" t="s">
        <v>425</v>
      </c>
      <c r="Q32" s="157"/>
      <c r="R32" s="157"/>
      <c r="S32" s="157"/>
      <c r="T32" s="157"/>
      <c r="U32" s="157"/>
      <c r="V32" s="157"/>
      <c r="W32" s="157"/>
      <c r="X32" s="155"/>
      <c r="Y32" s="514"/>
      <c r="Z32" s="476"/>
      <c r="AA32" s="155"/>
      <c r="AB32" s="157"/>
      <c r="AC32" s="157"/>
      <c r="AD32" s="155"/>
      <c r="AE32" s="476"/>
      <c r="AF32" s="476"/>
      <c r="AG32" s="478"/>
      <c r="AH32" s="2"/>
      <c r="AI32" s="2"/>
      <c r="AJ32" s="2"/>
      <c r="AK32" s="2"/>
      <c r="AL32" s="2"/>
      <c r="AM32" s="2"/>
      <c r="AN32" s="134" t="s">
        <v>425</v>
      </c>
      <c r="AO32" s="478"/>
      <c r="AQ32" s="489"/>
      <c r="AR32" s="155"/>
      <c r="AS32" s="155"/>
      <c r="AT32" s="155"/>
      <c r="AU32" s="155"/>
      <c r="AV32" s="155"/>
      <c r="AW32" s="155"/>
      <c r="AX32" s="478"/>
      <c r="AY32" s="2"/>
      <c r="AZ32" s="2"/>
    </row>
    <row r="33" spans="15:52" x14ac:dyDescent="0.2">
      <c r="O33" s="2"/>
      <c r="P33" s="161" t="s">
        <v>73</v>
      </c>
      <c r="Q33" s="270">
        <v>565.69000000000005</v>
      </c>
      <c r="R33" s="270">
        <v>112.93</v>
      </c>
      <c r="S33" s="270">
        <v>112.93</v>
      </c>
      <c r="T33" s="364">
        <v>50</v>
      </c>
      <c r="U33" s="364">
        <v>50</v>
      </c>
      <c r="V33" s="490">
        <f>SUM($E20:$G20,$M20,$N20,$Q33:$R33,T33)</f>
        <v>4122.66</v>
      </c>
      <c r="W33" s="479" t="e">
        <f>$V33+IF($B$2="mil",1,0.0254)*$C20</f>
        <v>#REF!</v>
      </c>
      <c r="X33" s="469" t="e">
        <f>$Y$31 + IF($B$2="mil",1,0.0254)*DDR2Specs!$E$9</f>
        <v>#REF!</v>
      </c>
      <c r="Y33" s="492" t="e">
        <f>$X$31 + IF($B$2="mil",1,0.0254)*DDR2Specs!$F$9</f>
        <v>#REF!</v>
      </c>
      <c r="Z33" s="491" t="e">
        <f>IF($W33&lt;$X33,$X33-$W33,"Pass")</f>
        <v>#REF!</v>
      </c>
      <c r="AA33" s="492" t="e">
        <f>IF($W33&gt;$Y33,$W33-$Y33,"Pass")</f>
        <v>#REF!</v>
      </c>
      <c r="AB33" s="490">
        <f>SUM($E20:$G20,$M20,$N20,$Q33,$S33,$U33)</f>
        <v>4122.66</v>
      </c>
      <c r="AC33" s="479" t="e">
        <f>$AB33+IF($B$2="mil",1,0.0254)*$C20</f>
        <v>#REF!</v>
      </c>
      <c r="AD33" s="469" t="e">
        <f>$AE$31 + IF($B$2="mil",1,0.0254)*DDR2Specs!$E$9</f>
        <v>#REF!</v>
      </c>
      <c r="AE33" s="469" t="e">
        <f>$AD$31 + IF($B$2="mil",1,0.0254)*DDR2Specs!$F$9</f>
        <v>#REF!</v>
      </c>
      <c r="AF33" s="491" t="e">
        <f>IF($AC33&lt;$AD33,$AD33-$AC33,"Pass")</f>
        <v>#REF!</v>
      </c>
      <c r="AG33" s="492" t="e">
        <f>IF($AC33&gt;$AE33,$AC33-$AE33,"Pass")</f>
        <v>#REF!</v>
      </c>
      <c r="AH33" s="2"/>
      <c r="AI33" s="2"/>
      <c r="AJ33" s="2"/>
      <c r="AK33" s="2"/>
      <c r="AL33" s="2"/>
      <c r="AM33" s="2"/>
      <c r="AN33" s="503" t="s">
        <v>73</v>
      </c>
      <c r="AO33" s="474" t="e">
        <f>IF($Q33&lt;=IF($B$2="mil",1,0.0254)*1000,"Pass",IF($B$2="mil",1,0.0254)*1000-$Q33)</f>
        <v>#REF!</v>
      </c>
      <c r="AQ33" s="473" t="e">
        <f>IF($R33&lt;=IF($B$2="mil",1,0.0254)*750,"Pass",IF($B$2="mil",1,0.0254)*750-$R33)</f>
        <v>#REF!</v>
      </c>
      <c r="AR33" s="473" t="e">
        <f>IF($S33&lt;=IF($B$2="mil",1,0.0254)*750,"Pass",IF($B$2="mil",1,0.0254)*750-$S33)</f>
        <v>#REF!</v>
      </c>
      <c r="AS33" s="473" t="e">
        <f t="shared" ref="AS33:AT35" ca="1" si="5">CheckLength2(IF($B$2="mil",1,0.0254)*950,R33,T33,0)</f>
        <v>#NAME?</v>
      </c>
      <c r="AT33" s="473" t="e">
        <f t="shared" ca="1" si="5"/>
        <v>#NAME?</v>
      </c>
      <c r="AU33" s="473" t="e">
        <f>IF(AND(V33&gt;=IF($B$2="mil",1,0.0254)*500, $V33&lt;=IF($B$2="mil",1,0.0254)*6500),"Pass",IF($B$2="mil",1,0.0254)*6500-$V33)</f>
        <v>#REF!</v>
      </c>
      <c r="AV33" s="504" t="e">
        <f>IF(AND($W33&gt;=IF($B$2="mil",1,0.0254)*500, $W33&lt;=IF($B$2="mil",1,0.0254)*7000),"Pass",IF($B$2="mil",1,0.0254)*7000-$W33)</f>
        <v>#REF!</v>
      </c>
      <c r="AW33" s="473" t="e">
        <f>IF(AND($AB33&gt;=IF($B$2="mil",1,0.0254)*500, $AB33&lt;=IF($B$2="mil",1,0.0254)*6500),"Pass",IF($B$2="mil",1,0.0254)*6500-$AB33)</f>
        <v>#REF!</v>
      </c>
      <c r="AX33" s="474" t="e">
        <f>IF(AND($AC33&gt;=IF($B$2="mil",1,0.0254)*500, $AC33&lt;=IF($B$2="mil",1,0.0254)*7000),"Pass",IF($B$2="mil",1,0.0254)*7000-$AC33)</f>
        <v>#REF!</v>
      </c>
      <c r="AY33" s="4" t="e">
        <f ca="1">IF(AND(Z33="Pass",AA33="Pass",AF33="Pass",AG33="Pass",AO33="Pass",AQ33="Pass",AR33="Pass",AS33="Pass",AT33="Pass",AU33="Pass",AV33="Pass",AW33="Pass",AX33="Pass"),"Pass","Fail")</f>
        <v>#REF!</v>
      </c>
      <c r="AZ33" s="4" t="e">
        <f ca="1">IF(AND(AY33="Pass",AY34="Pass",AY35="Pass"),"Pass","Fail")</f>
        <v>#REF!</v>
      </c>
    </row>
    <row r="34" spans="15:52" x14ac:dyDescent="0.2">
      <c r="O34" s="2"/>
      <c r="P34" s="161" t="s">
        <v>75</v>
      </c>
      <c r="Q34" s="270">
        <v>587.88</v>
      </c>
      <c r="R34" s="270">
        <v>93.83</v>
      </c>
      <c r="S34" s="270">
        <v>150</v>
      </c>
      <c r="T34" s="364">
        <v>50</v>
      </c>
      <c r="U34" s="364">
        <v>50</v>
      </c>
      <c r="V34" s="490">
        <f>SUM($E21:$G21,$M21,$N21,$Q34:$R34,T34)</f>
        <v>3963.32</v>
      </c>
      <c r="W34" s="479" t="e">
        <f>$V34+IF($B$2="mil",1,0.0254)*$C21</f>
        <v>#REF!</v>
      </c>
      <c r="X34" s="469" t="e">
        <f>$Y$31 + IF($B$2="mil",1,0.0254)*DDR2Specs!$E$9</f>
        <v>#REF!</v>
      </c>
      <c r="Y34" s="492" t="e">
        <f>$X$31 + IF($B$2="mil",1,0.0254)*DDR2Specs!$F$9</f>
        <v>#REF!</v>
      </c>
      <c r="Z34" s="491" t="e">
        <f>IF($W34&lt;$X34,$X34-$W34,"Pass")</f>
        <v>#REF!</v>
      </c>
      <c r="AA34" s="492" t="e">
        <f>IF($W34&gt;$Y34,$W34-$Y34,"Pass")</f>
        <v>#REF!</v>
      </c>
      <c r="AB34" s="490">
        <f>SUM($E21:$G21,$M21,$N21,$Q34,$S34,$U34)</f>
        <v>4019.4900000000002</v>
      </c>
      <c r="AC34" s="479" t="e">
        <f>$AB34+IF($B$2="mil",1,0.0254)*$C21</f>
        <v>#REF!</v>
      </c>
      <c r="AD34" s="469" t="e">
        <f>$AE$31 + IF($B$2="mil",1,0.0254)*DDR2Specs!$E$9</f>
        <v>#REF!</v>
      </c>
      <c r="AE34" s="469" t="e">
        <f>$AD$31 + IF($B$2="mil",1,0.0254)*DDR2Specs!$F$9</f>
        <v>#REF!</v>
      </c>
      <c r="AF34" s="491" t="e">
        <f>IF($AC34&lt;$AD34,$AD34-$AC34,"Pass")</f>
        <v>#REF!</v>
      </c>
      <c r="AG34" s="492" t="e">
        <f>IF($AC34&gt;$AE34,$AC34-$AE34,"Pass")</f>
        <v>#REF!</v>
      </c>
      <c r="AH34" s="2"/>
      <c r="AI34" s="2"/>
      <c r="AJ34" s="2"/>
      <c r="AK34" s="2"/>
      <c r="AL34" s="2"/>
      <c r="AM34" s="2"/>
      <c r="AN34" s="503" t="s">
        <v>75</v>
      </c>
      <c r="AO34" s="474" t="e">
        <f>IF($Q34&lt;=IF($B$2="mil",1,0.0254)*1000,"Pass",IF($B$2="mil",1,0.0254)*1000-$Q34)</f>
        <v>#REF!</v>
      </c>
      <c r="AQ34" s="473" t="e">
        <f>IF($R34&lt;=IF($B$2="mil",1,0.0254)*750,"Pass",IF($B$2="mil",1,0.0254)*750-$R34)</f>
        <v>#REF!</v>
      </c>
      <c r="AR34" s="473" t="e">
        <f>IF($S34&lt;=IF($B$2="mil",1,0.0254)*750,"Pass",IF($B$2="mil",1,0.0254)*750-$S34)</f>
        <v>#REF!</v>
      </c>
      <c r="AS34" s="473" t="e">
        <f t="shared" ca="1" si="5"/>
        <v>#NAME?</v>
      </c>
      <c r="AT34" s="473" t="e">
        <f t="shared" ca="1" si="5"/>
        <v>#NAME?</v>
      </c>
      <c r="AU34" s="473" t="e">
        <f>IF(AND(V34&gt;=IF($B$2="mil",1,0.0254)*500, $V34&lt;=IF($B$2="mil",1,0.0254)*6500),"Pass",IF($B$2="mil",1,0.0254)*6500-$V34)</f>
        <v>#REF!</v>
      </c>
      <c r="AV34" s="504" t="e">
        <f>IF(AND($W34&gt;=IF($B$2="mil",1,0.0254)*500, $W34&lt;=IF($B$2="mil",1,0.0254)*7000),"Pass",IF($B$2="mil",1,0.0254)*7000-$W34)</f>
        <v>#REF!</v>
      </c>
      <c r="AW34" s="473" t="e">
        <f>IF(AND($AB34&gt;=IF($B$2="mil",1,0.0254)*500, $AB34&lt;=IF($B$2="mil",1,0.0254)*6500),"Pass",IF($B$2="mil",1,0.0254)*6500-$AB34)</f>
        <v>#REF!</v>
      </c>
      <c r="AX34" s="474" t="e">
        <f>IF(AND($AC34&gt;=IF($B$2="mil",1,0.0254)*500, $AC34&lt;=IF($B$2="mil",1,0.0254)*7000),"Pass",IF($B$2="mil",1,0.0254)*7000-$AC34)</f>
        <v>#REF!</v>
      </c>
      <c r="AY34" s="4" t="e">
        <f t="shared" ref="AY34:AY41" ca="1" si="6">IF(AND(Z34="Pass",AA34="Pass",AF34="Pass",AG34="Pass",AO34="Pass",AQ34="Pass",AR34="Pass",AS34="Pass",AT34="Pass",AU34="Pass",AV34="Pass",AW34="Pass",AX34="Pass"),"Pass","Fail")</f>
        <v>#REF!</v>
      </c>
    </row>
    <row r="35" spans="15:52" x14ac:dyDescent="0.2">
      <c r="O35" s="2"/>
      <c r="P35" s="161" t="s">
        <v>77</v>
      </c>
      <c r="Q35" s="270">
        <v>565.69000000000005</v>
      </c>
      <c r="R35" s="270">
        <v>200</v>
      </c>
      <c r="S35" s="270">
        <v>200</v>
      </c>
      <c r="T35" s="364">
        <v>50</v>
      </c>
      <c r="U35" s="364">
        <v>50</v>
      </c>
      <c r="V35" s="490">
        <f>SUM($E22:$G22,$M22,$N22,$Q35:$R35,T35)</f>
        <v>3952.5800000000004</v>
      </c>
      <c r="W35" s="479" t="e">
        <f>$V35+IF($B$2="mil",1,0.0254)*$C22</f>
        <v>#REF!</v>
      </c>
      <c r="X35" s="469" t="e">
        <f>$Y$31 + IF($B$2="mil",1,0.0254)*DDR2Specs!$E$9</f>
        <v>#REF!</v>
      </c>
      <c r="Y35" s="492" t="e">
        <f>$X$31 + IF($B$2="mil",1,0.0254)*DDR2Specs!$F$9</f>
        <v>#REF!</v>
      </c>
      <c r="Z35" s="491" t="e">
        <f>IF($W35&lt;$X35,$X35-$W35,"Pass")</f>
        <v>#REF!</v>
      </c>
      <c r="AA35" s="492" t="e">
        <f>IF($W35&gt;$Y35,$W35-$Y35,"Pass")</f>
        <v>#REF!</v>
      </c>
      <c r="AB35" s="490">
        <f>SUM($E22:$G22,$M22,$N22,$Q35,$S35,$U35)</f>
        <v>3952.5800000000004</v>
      </c>
      <c r="AC35" s="479" t="e">
        <f>$AB35+IF($B$2="mil",1,0.0254)*$C22</f>
        <v>#REF!</v>
      </c>
      <c r="AD35" s="469" t="e">
        <f>$AE$31 + IF($B$2="mil",1,0.0254)*DDR2Specs!$E$9</f>
        <v>#REF!</v>
      </c>
      <c r="AE35" s="469" t="e">
        <f>$AD$31 + IF($B$2="mil",1,0.0254)*DDR2Specs!$F$9</f>
        <v>#REF!</v>
      </c>
      <c r="AF35" s="491" t="e">
        <f>IF($AC35&lt;$AD35,$AD35-$AC35,"Pass")</f>
        <v>#REF!</v>
      </c>
      <c r="AG35" s="492" t="e">
        <f>IF($AC35&gt;$AE35,$AC35-$AE35,"Pass")</f>
        <v>#REF!</v>
      </c>
      <c r="AH35" s="2"/>
      <c r="AI35" s="2"/>
      <c r="AJ35" s="2"/>
      <c r="AK35" s="2"/>
      <c r="AL35" s="2"/>
      <c r="AM35" s="2"/>
      <c r="AN35" s="503" t="s">
        <v>77</v>
      </c>
      <c r="AO35" s="474" t="e">
        <f>IF($Q35&lt;=IF($B$2="mil",1,0.0254)*1000,"Pass",IF($B$2="mil",1,0.0254)*1000-$Q35)</f>
        <v>#REF!</v>
      </c>
      <c r="AQ35" s="473" t="e">
        <f>IF($R35&lt;=IF($B$2="mil",1,0.0254)*750,"Pass",IF($B$2="mil",1,0.0254)*750-$R35)</f>
        <v>#REF!</v>
      </c>
      <c r="AR35" s="473" t="e">
        <f>IF($S35&lt;=IF($B$2="mil",1,0.0254)*750,"Pass",IF($B$2="mil",1,0.0254)*750-$S35)</f>
        <v>#REF!</v>
      </c>
      <c r="AS35" s="473" t="e">
        <f t="shared" ca="1" si="5"/>
        <v>#NAME?</v>
      </c>
      <c r="AT35" s="473" t="e">
        <f t="shared" ca="1" si="5"/>
        <v>#NAME?</v>
      </c>
      <c r="AU35" s="473" t="e">
        <f>IF(AND(V35&gt;=IF($B$2="mil",1,0.0254)*500, $V35&lt;=IF($B$2="mil",1,0.0254)*6500),"Pass",IF($B$2="mil",1,0.0254)*6500-$V35)</f>
        <v>#REF!</v>
      </c>
      <c r="AV35" s="504" t="e">
        <f>IF(AND($W35&gt;=IF($B$2="mil",1,0.0254)*500, $W35&lt;=IF($B$2="mil",1,0.0254)*7000),"Pass",IF($B$2="mil",1,0.0254)*7000-$W35)</f>
        <v>#REF!</v>
      </c>
      <c r="AW35" s="473" t="e">
        <f>IF(AND($AB35&gt;=IF($B$2="mil",1,0.0254)*500, $AB35&lt;=IF($B$2="mil",1,0.0254)*6500),"Pass",IF($B$2="mil",1,0.0254)*6500-$AB35)</f>
        <v>#REF!</v>
      </c>
      <c r="AX35" s="474" t="e">
        <f>IF(AND($AC35&gt;=IF($B$2="mil",1,0.0254)*500, $AC35&lt;=IF($B$2="mil",1,0.0254)*7000),"Pass",IF($B$2="mil",1,0.0254)*7000-$AC35)</f>
        <v>#REF!</v>
      </c>
      <c r="AY35" s="4" t="e">
        <f t="shared" ca="1" si="6"/>
        <v>#REF!</v>
      </c>
      <c r="AZ35" s="2"/>
    </row>
    <row r="36" spans="15:52" ht="22.5" x14ac:dyDescent="0.2">
      <c r="O36" s="2"/>
      <c r="P36" s="192" t="s">
        <v>494</v>
      </c>
      <c r="Q36" s="123" t="e">
        <f>"Trace L7-2 ["&amp;$B$2&amp;"]"</f>
        <v>#REF!</v>
      </c>
      <c r="R36" s="290" t="s">
        <v>437</v>
      </c>
      <c r="S36" s="290" t="s">
        <v>438</v>
      </c>
      <c r="T36" s="290" t="s">
        <v>454</v>
      </c>
      <c r="U36" s="290" t="s">
        <v>455</v>
      </c>
      <c r="V36" s="495" t="e">
        <f>"Total MB Length to U2 (L0+L1+L2+L5+L6-1+L7-2+L8-3+L9-3) ["&amp;$B$2&amp;"]"</f>
        <v>#REF!</v>
      </c>
      <c r="W36" s="495" t="e">
        <f>"Total Pad to Pin U2 (P1+L0+L1+L2+L5+L6-1+L7-3+L8-3+L9-3) ["&amp;$B$2&amp;"]"</f>
        <v>#REF!</v>
      </c>
      <c r="X36" s="496" t="e">
        <f>"Target Min Length to U2
["&amp;$B$2&amp;"]"</f>
        <v>#REF!</v>
      </c>
      <c r="Y36" s="496" t="e">
        <f>"Target Max Length to U2 
["&amp;$B$2&amp;"]"</f>
        <v>#REF!</v>
      </c>
      <c r="Z36" s="498" t="e">
        <f>"Routed Too Short to U2 [" &amp;$B$2&amp;"]"</f>
        <v>#REF!</v>
      </c>
      <c r="AA36" s="496" t="e">
        <f>"Routed Too Long to U2 [" &amp;$B$2&amp;"]"</f>
        <v>#REF!</v>
      </c>
      <c r="AB36" s="495" t="e">
        <f>"Total MB Length to U6 (L0+L1+L2+L5+L6-1+L7-2+L8-4+L9-4) ["&amp;$B$2&amp;"]"</f>
        <v>#REF!</v>
      </c>
      <c r="AC36" s="499" t="e">
        <f>"Total Pad to Pin U6 (P1+L0+L1+L2+L5+L6-1+L7-2+L8-4+L9-4) ["&amp;$B$2&amp;"]"</f>
        <v>#REF!</v>
      </c>
      <c r="AD36" s="496" t="e">
        <f>"Target Min Length to U6
["&amp;$B$2&amp;"]"</f>
        <v>#REF!</v>
      </c>
      <c r="AE36" s="496" t="e">
        <f>"Target Max Length to U6 
["&amp;$B$2&amp;"]"</f>
        <v>#REF!</v>
      </c>
      <c r="AF36" s="498" t="e">
        <f>"Routed Too Short to U6 [" &amp;$B$2&amp;"]"</f>
        <v>#REF!</v>
      </c>
      <c r="AG36" s="496" t="e">
        <f>"Routed Too Long to U6 [" &amp;$B$2&amp;"]"</f>
        <v>#REF!</v>
      </c>
      <c r="AH36" s="2"/>
      <c r="AI36" s="2"/>
      <c r="AJ36" s="2"/>
      <c r="AK36" s="2"/>
      <c r="AL36" s="2"/>
      <c r="AM36" s="2"/>
      <c r="AN36" s="495" t="s">
        <v>494</v>
      </c>
      <c r="AO36" s="497" t="e">
        <f>"L7-2 Length Test (&lt;=" &amp; IF($B$2="mil",1,0.0254)*1000&amp;$B$2&amp;")"</f>
        <v>#REF!</v>
      </c>
      <c r="AQ36" s="500" t="e">
        <f>"L8-3 Length Test (&lt;=" &amp; IF($B$2="mil",1,0.0254)*750&amp;$B$2&amp;")"</f>
        <v>#REF!</v>
      </c>
      <c r="AR36" s="500" t="e">
        <f>"L8-4 Length Test (&lt;=" &amp; IF($B$2="mil",1,0.0254)*750&amp;$B$2&amp;")"</f>
        <v>#REF!</v>
      </c>
      <c r="AS36" s="500" t="e">
        <f>"L9-3 Length Test (&lt;=" &amp; IF($B$2="mil",1,0.0254)*200&amp;$B$2&amp;") or (L8-3+L9-3&lt;= "&amp;IF($B$2="mil",1,0.0254)*950&amp;$B$2&amp;")"</f>
        <v>#REF!</v>
      </c>
      <c r="AT36" s="500" t="e">
        <f>"L9-4 Length Test (&lt;=" &amp; IF($B$2="mil",1,0.0254)*200&amp;$B$2&amp;") or (L8-4+L9-4&lt;= "&amp;IF($B$2="mil",1,0.0254)*950&amp;$B$2&amp;")"</f>
        <v>#REF!</v>
      </c>
      <c r="AU36" s="497" t="e">
        <f>"Total Length to U2 (L0+L1+L2+L5+L6-1+L7-2+L8-3+L9-3)Test
 ("&amp;IF($B$2="mil",1,0.0254)*500&amp;"-"&amp;IF($B$2="mil",1,0.0254)*6500&amp;IF($B$2="mil","mil","mm")&amp;")"</f>
        <v>#REF!</v>
      </c>
      <c r="AV36" s="497" t="e">
        <f>"Total Length to U2 (P1+L0+L1+L2+L5+L6-1+L7-2+L8-3+L9-3) Test
 (&lt;="&amp;IF($B$2="mil",1,25.4)*7000&amp;IF($B$2="mil","mil","mm")&amp;")"</f>
        <v>#REF!</v>
      </c>
      <c r="AW36" s="497" t="e">
        <f>"Total Length to U6 (L0+L1+L2+L5+L6-1+L7-2+L8-4+L9-4)Test
 ("&amp;IF($B$2="mil",1,0.0254)*500&amp;"-"&amp;IF($B$2="mil",1,0.0254)*6500&amp;IF($B$2="mil","mil","mm")&amp;")"</f>
        <v>#REF!</v>
      </c>
      <c r="AX36" s="497" t="e">
        <f>"Total Length to U6 (P1+L0+L1+L2+L5+L6-1+L7-2+L8-4+L9-4) Test
 (&lt;="&amp;IF($B$2="mil",1,25.4)*7000&amp;IF($B$2="mil","mil","mm")&amp;")"</f>
        <v>#REF!</v>
      </c>
      <c r="AY36" s="2"/>
      <c r="AZ36" s="2"/>
    </row>
    <row r="37" spans="15:52" x14ac:dyDescent="0.2">
      <c r="O37" s="2"/>
      <c r="P37" s="146" t="s">
        <v>262</v>
      </c>
      <c r="Q37" s="143"/>
      <c r="R37" s="143"/>
      <c r="S37" s="143"/>
      <c r="T37" s="143"/>
      <c r="U37" s="143"/>
      <c r="V37" s="143"/>
      <c r="W37" s="502" t="s">
        <v>275</v>
      </c>
      <c r="X37" s="486" t="e">
        <f>MIN('DDR2 Clocks - 4L'!$O$9:$O$10)</f>
        <v>#REF!</v>
      </c>
      <c r="Y37" s="484" t="e">
        <f>MAX('DDR2 Clocks - 4L'!$O$9:$O$10)</f>
        <v>#REF!</v>
      </c>
      <c r="Z37" s="529"/>
      <c r="AA37" s="486"/>
      <c r="AB37" s="143"/>
      <c r="AC37" s="502" t="s">
        <v>333</v>
      </c>
      <c r="AD37" s="529" t="e">
        <f>MIN('DDR2 Clocks - 4L'!$O$11:$O$12)</f>
        <v>#REF!</v>
      </c>
      <c r="AE37" s="486" t="e">
        <f>MAX('DDR2 Clocks - 4L'!$O$11:$O$12)</f>
        <v>#REF!</v>
      </c>
      <c r="AF37" s="486"/>
      <c r="AG37" s="486"/>
      <c r="AH37" s="2"/>
      <c r="AI37" s="2"/>
      <c r="AJ37" s="2"/>
      <c r="AK37" s="2"/>
      <c r="AL37" s="2"/>
      <c r="AM37" s="2"/>
      <c r="AN37" s="143" t="s">
        <v>262</v>
      </c>
      <c r="AO37" s="484"/>
      <c r="AQ37" s="483"/>
      <c r="AR37" s="483"/>
      <c r="AS37" s="483"/>
      <c r="AT37" s="483"/>
      <c r="AU37" s="483"/>
      <c r="AV37" s="483"/>
      <c r="AW37" s="483"/>
      <c r="AX37" s="484"/>
      <c r="AY37" s="2"/>
      <c r="AZ37" s="2"/>
    </row>
    <row r="38" spans="15:52" x14ac:dyDescent="0.2">
      <c r="O38" s="2"/>
      <c r="P38" s="134" t="s">
        <v>426</v>
      </c>
      <c r="Q38" s="298"/>
      <c r="R38" s="291"/>
      <c r="S38" s="291"/>
      <c r="T38" s="388"/>
      <c r="U38" s="388"/>
      <c r="V38" s="182"/>
      <c r="W38" s="182"/>
      <c r="X38" s="182"/>
      <c r="Y38" s="515"/>
      <c r="Z38" s="385"/>
      <c r="AA38" s="385"/>
      <c r="AB38" s="182"/>
      <c r="AC38" s="182"/>
      <c r="AD38" s="182"/>
      <c r="AE38" s="182"/>
      <c r="AF38" s="385"/>
      <c r="AG38" s="494"/>
      <c r="AH38" s="2"/>
      <c r="AI38" s="2"/>
      <c r="AJ38" s="2"/>
      <c r="AK38" s="2"/>
      <c r="AL38" s="2"/>
      <c r="AM38" s="2"/>
      <c r="AN38" s="134" t="s">
        <v>426</v>
      </c>
      <c r="AO38" s="478"/>
      <c r="AQ38" s="155"/>
      <c r="AR38" s="155"/>
      <c r="AS38" s="155"/>
      <c r="AT38" s="155"/>
      <c r="AU38" s="155"/>
      <c r="AV38" s="506"/>
      <c r="AW38" s="155"/>
      <c r="AX38" s="494"/>
      <c r="AY38" s="2"/>
      <c r="AZ38" s="2"/>
    </row>
    <row r="39" spans="15:52" x14ac:dyDescent="0.2">
      <c r="O39" s="2"/>
      <c r="P39" s="161" t="s">
        <v>74</v>
      </c>
      <c r="Q39" s="270">
        <v>570.59</v>
      </c>
      <c r="R39" s="297">
        <v>75.430000000000007</v>
      </c>
      <c r="S39" s="297">
        <v>75.430000000000007</v>
      </c>
      <c r="T39" s="364">
        <v>50</v>
      </c>
      <c r="U39" s="364">
        <v>50</v>
      </c>
      <c r="V39" s="490">
        <f>SUM($E26:$G26,$M26,$N26,$Q39:$R39,T39)</f>
        <v>3916.64</v>
      </c>
      <c r="W39" s="469" t="e">
        <f>$V39+IF($B$2="mil",1,0.0254)*$C26</f>
        <v>#REF!</v>
      </c>
      <c r="X39" s="469" t="e">
        <f>$Y$31 + IF($B$2="mil",1,0.0254)*DDR2Specs!$E$9</f>
        <v>#REF!</v>
      </c>
      <c r="Y39" s="492" t="e">
        <f>$X$31 + IF($B$2="mil",1,0.0254)*DDR2Specs!$F$9</f>
        <v>#REF!</v>
      </c>
      <c r="Z39" s="491" t="e">
        <f>IF($W39&lt;$X39,$X39-$W39,"Pass")</f>
        <v>#REF!</v>
      </c>
      <c r="AA39" s="492" t="e">
        <f>IF($W39&gt;$Y39,$W39-$Y39,"Pass")</f>
        <v>#REF!</v>
      </c>
      <c r="AB39" s="490">
        <f>SUM($E26:$G26,$M26,$N26,$Q39,$S39,$U39)</f>
        <v>3916.64</v>
      </c>
      <c r="AC39" s="469" t="e">
        <f>$AB39+IF($B$2="mil",1,0.0254)*$C26</f>
        <v>#REF!</v>
      </c>
      <c r="AD39" s="469" t="e">
        <f>$AE$31 + IF($B$2="mil",1,0.0254)*DDR2Specs!$E$9</f>
        <v>#REF!</v>
      </c>
      <c r="AE39" s="469" t="e">
        <f>$AD$31 + IF($B$2="mil",1,0.0254)*DDR2Specs!$F$9</f>
        <v>#REF!</v>
      </c>
      <c r="AF39" s="491" t="e">
        <f>IF($AC39&lt;$AD39,$AD39-$AC39,"Pass")</f>
        <v>#REF!</v>
      </c>
      <c r="AG39" s="492" t="e">
        <f>IF($AC39&gt;$AE39,$AC39-$AE39,"Pass")</f>
        <v>#REF!</v>
      </c>
      <c r="AH39" s="2"/>
      <c r="AI39" s="2"/>
      <c r="AJ39" s="2"/>
      <c r="AK39" s="2"/>
      <c r="AL39" s="2"/>
      <c r="AM39" s="2"/>
      <c r="AN39" s="503" t="s">
        <v>74</v>
      </c>
      <c r="AO39" s="474" t="e">
        <f>IF($Q39&lt;=IF($B$2="mil",1,0.0254)*1000,"Pass",IF($B$2="mil",1,0.0254)*1000-$Q39)</f>
        <v>#REF!</v>
      </c>
      <c r="AQ39" s="473" t="e">
        <f>IF($R39&lt;=IF($B$2="mil",1,0.0254)*750,"Pass",IF($B$2="mil",1,0.0254)*750-$R39)</f>
        <v>#REF!</v>
      </c>
      <c r="AR39" s="473" t="e">
        <f>IF($S39&lt;=IF($B$2="mil",1,0.0254)*750,"Pass",IF($B$2="mil",1,0.0254)*750-$S39)</f>
        <v>#REF!</v>
      </c>
      <c r="AS39" s="473" t="e">
        <f t="shared" ref="AS39:AT41" ca="1" si="7">CheckLength2(IF($B$2="mil",1,0.0254)*950,R39,T39,0)</f>
        <v>#NAME?</v>
      </c>
      <c r="AT39" s="473" t="e">
        <f t="shared" ca="1" si="7"/>
        <v>#NAME?</v>
      </c>
      <c r="AU39" s="473" t="e">
        <f>IF(AND(V39&gt;=IF($B$2="mil",1,0.0254)*500, $V39&lt;=IF($B$2="mil",1,0.0254)*6500),"Pass",IF($B$2="mil",1,0.0254)*6500-$V39)</f>
        <v>#REF!</v>
      </c>
      <c r="AV39" s="504" t="e">
        <f>IF(AND($W39&gt;=IF($B$2="mil",1,0.0254)*500, $W39&lt;=IF($B$2="mil",1,0.0254)*7000),"Pass",IF($B$2="mil",1,0.0254)*7000-$W39)</f>
        <v>#REF!</v>
      </c>
      <c r="AW39" s="473" t="e">
        <f>IF(AND($AB39&gt;=IF($B$2="mil",1,0.0254)*500, $AB39&lt;=IF($B$2="mil",1,0.0254)*6500),"Pass",IF($B$2="mil",1,0.0254)*6500-$AB39)</f>
        <v>#REF!</v>
      </c>
      <c r="AX39" s="474" t="e">
        <f>IF(AND($AC39&gt;=IF($B$2="mil",1,0.0254)*500, $AC39&lt;=IF($B$2="mil",1,0.0254)*7000),"Pass",IF($B$2="mil",1,0.0254)*7000-$AC39)</f>
        <v>#REF!</v>
      </c>
      <c r="AY39" s="4" t="e">
        <f t="shared" ca="1" si="6"/>
        <v>#REF!</v>
      </c>
      <c r="AZ39" s="4" t="e">
        <f ca="1">IF(AND(AY39="Pass",AY40="Pass",AY41="Pass"),"Pass","Fail")</f>
        <v>#REF!</v>
      </c>
    </row>
    <row r="40" spans="15:52" x14ac:dyDescent="0.2">
      <c r="O40" s="2"/>
      <c r="P40" s="161" t="s">
        <v>76</v>
      </c>
      <c r="Q40" s="270">
        <v>585.74</v>
      </c>
      <c r="R40" s="292">
        <v>58.08</v>
      </c>
      <c r="S40" s="292">
        <v>58.08</v>
      </c>
      <c r="T40" s="364">
        <v>50</v>
      </c>
      <c r="U40" s="364">
        <v>50</v>
      </c>
      <c r="V40" s="490">
        <f>SUM($E27:$G27,$M27,$N27,$Q40:$R40,T40)</f>
        <v>4059.8499999999995</v>
      </c>
      <c r="W40" s="469" t="e">
        <f>$V40+IF($B$2="mil",1,0.0254)*$C27</f>
        <v>#REF!</v>
      </c>
      <c r="X40" s="469" t="e">
        <f>$Y$31 + IF($B$2="mil",1,0.0254)*DDR2Specs!$E$9</f>
        <v>#REF!</v>
      </c>
      <c r="Y40" s="492" t="e">
        <f>$X$31 + IF($B$2="mil",1,0.0254)*DDR2Specs!$F$9</f>
        <v>#REF!</v>
      </c>
      <c r="Z40" s="491" t="e">
        <f>IF($W40&lt;$X40,$X40-$W40,"Pass")</f>
        <v>#REF!</v>
      </c>
      <c r="AA40" s="492" t="e">
        <f>IF($W40&gt;$Y40,$W40-$Y40,"Pass")</f>
        <v>#REF!</v>
      </c>
      <c r="AB40" s="490">
        <f>SUM($E27:$G27,$M27,$N27,$Q40,$S40,$U40)</f>
        <v>4059.8499999999995</v>
      </c>
      <c r="AC40" s="469" t="e">
        <f>$AB40+IF($B$2="mil",1,0.0254)*$C27</f>
        <v>#REF!</v>
      </c>
      <c r="AD40" s="469" t="e">
        <f>$AE$31 + IF($B$2="mil",1,0.0254)*DDR2Specs!$E$9</f>
        <v>#REF!</v>
      </c>
      <c r="AE40" s="469" t="e">
        <f>$AD$31 + IF($B$2="mil",1,0.0254)*DDR2Specs!$F$9</f>
        <v>#REF!</v>
      </c>
      <c r="AF40" s="491" t="e">
        <f>IF($AC40&lt;$AD40,$AD40-$AC40,"Pass")</f>
        <v>#REF!</v>
      </c>
      <c r="AG40" s="492" t="e">
        <f>IF($AC40&gt;$AE40,$AC40-$AE40,"Pass")</f>
        <v>#REF!</v>
      </c>
      <c r="AH40" s="2"/>
      <c r="AI40" s="2"/>
      <c r="AJ40" s="2"/>
      <c r="AK40" s="2"/>
      <c r="AL40" s="2"/>
      <c r="AM40" s="2"/>
      <c r="AN40" s="503" t="s">
        <v>76</v>
      </c>
      <c r="AO40" s="474" t="e">
        <f>IF($Q40&lt;=IF($B$2="mil",1,0.0254)*1000,"Pass",IF($B$2="mil",1,0.0254)*1000-$Q40)</f>
        <v>#REF!</v>
      </c>
      <c r="AQ40" s="473" t="e">
        <f>IF($R40&lt;=IF($B$2="mil",1,0.0254)*750,"Pass",IF($B$2="mil",1,0.0254)*750-$R40)</f>
        <v>#REF!</v>
      </c>
      <c r="AR40" s="473" t="e">
        <f>IF($S40&lt;=IF($B$2="mil",1,0.0254)*750,"Pass",IF($B$2="mil",1,0.0254)*750-$S40)</f>
        <v>#REF!</v>
      </c>
      <c r="AS40" s="473" t="e">
        <f t="shared" ca="1" si="7"/>
        <v>#NAME?</v>
      </c>
      <c r="AT40" s="473" t="e">
        <f t="shared" ca="1" si="7"/>
        <v>#NAME?</v>
      </c>
      <c r="AU40" s="473" t="e">
        <f>IF(AND(V40&gt;=IF($B$2="mil",1,0.0254)*500, $V40&lt;=IF($B$2="mil",1,0.0254)*6500),"Pass",IF($B$2="mil",1,0.0254)*6500-$V40)</f>
        <v>#REF!</v>
      </c>
      <c r="AV40" s="504" t="e">
        <f>IF(AND($W40&gt;=IF($B$2="mil",1,0.0254)*500, $W40&lt;=IF($B$2="mil",1,0.0254)*7000),"Pass",IF($B$2="mil",1,0.0254)*7000-$W40)</f>
        <v>#REF!</v>
      </c>
      <c r="AW40" s="473" t="e">
        <f>IF(AND($AB40&gt;=IF($B$2="mil",1,0.0254)*500, $AB40&lt;=IF($B$2="mil",1,0.0254)*6500),"Pass",IF($B$2="mil",1,0.0254)*6500-$AB40)</f>
        <v>#REF!</v>
      </c>
      <c r="AX40" s="474" t="e">
        <f>IF(AND($AC40&gt;=IF($B$2="mil",1,0.0254)*500, $AC40&lt;=IF($B$2="mil",1,0.0254)*7000),"Pass",IF($B$2="mil",1,0.0254)*7000-$AC40)</f>
        <v>#REF!</v>
      </c>
      <c r="AY40" s="4" t="e">
        <f t="shared" ca="1" si="6"/>
        <v>#REF!</v>
      </c>
      <c r="AZ40" s="2"/>
    </row>
    <row r="41" spans="15:52" x14ac:dyDescent="0.2">
      <c r="O41" s="2"/>
      <c r="P41" s="161" t="s">
        <v>78</v>
      </c>
      <c r="Q41" s="270">
        <v>541.1</v>
      </c>
      <c r="R41" s="169">
        <v>78.75</v>
      </c>
      <c r="S41" s="169">
        <v>78.75</v>
      </c>
      <c r="T41" s="364">
        <v>50</v>
      </c>
      <c r="U41" s="364">
        <v>50</v>
      </c>
      <c r="V41" s="490">
        <f>SUM($E28:$G28,$M28,$N28,$Q41:$R41,T41)</f>
        <v>3879.3199999999997</v>
      </c>
      <c r="W41" s="469" t="e">
        <f>$V41+IF($B$2="mil",1,0.0254)*$C28</f>
        <v>#REF!</v>
      </c>
      <c r="X41" s="469" t="e">
        <f>$Y$31 + IF($B$2="mil",1,0.0254)*DDR2Specs!$E$9</f>
        <v>#REF!</v>
      </c>
      <c r="Y41" s="492" t="e">
        <f>$X$31 + IF($B$2="mil",1,0.0254)*DDR2Specs!$F$9</f>
        <v>#REF!</v>
      </c>
      <c r="Z41" s="491" t="e">
        <f>IF($W41&lt;$X41,$X41-$W41,"Pass")</f>
        <v>#REF!</v>
      </c>
      <c r="AA41" s="492" t="e">
        <f>IF($W41&gt;$Y41,$W41-$Y41,"Pass")</f>
        <v>#REF!</v>
      </c>
      <c r="AB41" s="490">
        <f>SUM($E28:$G28,$M28,$N28,$Q41,$S41,$U41)</f>
        <v>3879.3199999999997</v>
      </c>
      <c r="AC41" s="469" t="e">
        <f>$AB41+IF($B$2="mil",1,0.0254)*$C28</f>
        <v>#REF!</v>
      </c>
      <c r="AD41" s="469" t="e">
        <f>$AE$31 + IF($B$2="mil",1,0.0254)*DDR2Specs!$E$9</f>
        <v>#REF!</v>
      </c>
      <c r="AE41" s="469" t="e">
        <f>$AD$31 + IF($B$2="mil",1,0.0254)*DDR2Specs!$F$9</f>
        <v>#REF!</v>
      </c>
      <c r="AF41" s="491" t="e">
        <f>IF($AC41&lt;$AD41,$AD41-$AC41,"Pass")</f>
        <v>#REF!</v>
      </c>
      <c r="AG41" s="492" t="e">
        <f>IF($AC41&gt;$AE41,$AC41-$AE41,"Pass")</f>
        <v>#REF!</v>
      </c>
      <c r="AH41" s="2"/>
      <c r="AI41" s="2"/>
      <c r="AJ41" s="2"/>
      <c r="AK41" s="2"/>
      <c r="AL41" s="2"/>
      <c r="AM41" s="2"/>
      <c r="AN41" s="503" t="s">
        <v>78</v>
      </c>
      <c r="AO41" s="474" t="e">
        <f>IF($Q41&lt;=IF($B$2="mil",1,0.0254)*1000,"Pass",IF($B$2="mil",1,0.0254)*1000-$Q41)</f>
        <v>#REF!</v>
      </c>
      <c r="AQ41" s="473" t="e">
        <f>IF($R41&lt;=IF($B$2="mil",1,0.0254)*750,"Pass",IF($B$2="mil",1,0.0254)*750-$R41)</f>
        <v>#REF!</v>
      </c>
      <c r="AR41" s="473" t="e">
        <f>IF($S41&lt;=IF($B$2="mil",1,0.0254)*750,"Pass",IF($B$2="mil",1,0.0254)*750-$S41)</f>
        <v>#REF!</v>
      </c>
      <c r="AS41" s="473" t="e">
        <f t="shared" ca="1" si="7"/>
        <v>#NAME?</v>
      </c>
      <c r="AT41" s="473" t="e">
        <f t="shared" ca="1" si="7"/>
        <v>#NAME?</v>
      </c>
      <c r="AU41" s="473" t="e">
        <f>IF(AND(V41&gt;=IF($B$2="mil",1,0.0254)*500, $V41&lt;=IF($B$2="mil",1,0.0254)*6500),"Pass",IF($B$2="mil",1,0.0254)*6500-$V41)</f>
        <v>#REF!</v>
      </c>
      <c r="AV41" s="504" t="e">
        <f>IF(AND($W41&gt;=IF($B$2="mil",1,0.0254)*500, $W41&lt;=IF($B$2="mil",1,0.0254)*7000),"Pass",IF($B$2="mil",1,0.0254)*7000-$W41)</f>
        <v>#REF!</v>
      </c>
      <c r="AW41" s="473" t="e">
        <f>IF(AND($AB41&gt;=IF($B$2="mil",1,0.0254)*500, $AB41&lt;=IF($B$2="mil",1,0.0254)*6500),"Pass",IF($B$2="mil",1,0.0254)*6500-$AB41)</f>
        <v>#REF!</v>
      </c>
      <c r="AX41" s="474" t="e">
        <f>IF(AND($AC41&gt;=IF($B$2="mil",1,0.0254)*500, $AC41&lt;=IF($B$2="mil",1,0.0254)*7000),"Pass",IF($B$2="mil",1,0.0254)*7000-$AC41)</f>
        <v>#REF!</v>
      </c>
      <c r="AY41" s="4" t="e">
        <f t="shared" ca="1" si="6"/>
        <v>#REF!</v>
      </c>
      <c r="AZ41" s="2"/>
    </row>
    <row r="42" spans="15:52" x14ac:dyDescent="0.2">
      <c r="O42" s="2"/>
      <c r="P42" s="192" t="s">
        <v>494</v>
      </c>
      <c r="Q42" s="123" t="e">
        <f>"Trace L7-3 ["&amp;$B$2&amp;"]"</f>
        <v>#REF!</v>
      </c>
      <c r="R42" s="123" t="e">
        <f>"Trace L8-5 to U3 ["&amp;$B$2&amp;"]"</f>
        <v>#REF!</v>
      </c>
      <c r="S42" s="123" t="e">
        <f>"Trace L8-6 to U7 ["&amp;$B$2&amp;"]"</f>
        <v>#REF!</v>
      </c>
      <c r="T42" s="123" t="e">
        <f>"Trace L9-5 to U3 ["&amp;$B$2&amp;"]"</f>
        <v>#REF!</v>
      </c>
      <c r="U42" s="123" t="e">
        <f>"Trace L9-6 to U7 ["&amp;$B$2&amp;"]"</f>
        <v>#REF!</v>
      </c>
      <c r="V42" s="495" t="e">
        <f>"Total MB Length to U3 (L0+L1+L2+L5+L6-2+L7-3+L8-5+L9-5) ["&amp;$B$2&amp;"]"</f>
        <v>#REF!</v>
      </c>
      <c r="W42" s="495" t="e">
        <f>"Total Pad to Pin U3 (P1+L0+L1+L2+L5+L6-2+L7-3+L8-5+L9-5) ["&amp;$B$2&amp;"]"</f>
        <v>#REF!</v>
      </c>
      <c r="X42" s="496" t="e">
        <f>"Target Min Length to U3
["&amp;$B$2&amp;"]"</f>
        <v>#REF!</v>
      </c>
      <c r="Y42" s="497" t="e">
        <f>"Target Max Length to U3 
["&amp;$B$2&amp;"]"</f>
        <v>#REF!</v>
      </c>
      <c r="Z42" s="498" t="e">
        <f>"Routed Too Short to U3 [" &amp;$B$2&amp;"]"</f>
        <v>#REF!</v>
      </c>
      <c r="AA42" s="496" t="e">
        <f>"Routed Too Long to U3 [" &amp;$B$2&amp;"]"</f>
        <v>#REF!</v>
      </c>
      <c r="AB42" s="495" t="e">
        <f>"Total MB Length to U7 (L0+L1+L2+L5+L6-2+L7-3+L8-6+L9-6) ["&amp;$B$2&amp;"]"</f>
        <v>#REF!</v>
      </c>
      <c r="AC42" s="495" t="e">
        <f>"Total Pad to Pin U7 (P1+L0+L1+L2+L5+L6-2+L7-3+L8-6+L9-6) ["&amp;$B$2&amp;"]"</f>
        <v>#REF!</v>
      </c>
      <c r="AD42" s="496" t="e">
        <f>"Target Min Length to U7
["&amp;$B$2&amp;"]"</f>
        <v>#REF!</v>
      </c>
      <c r="AE42" s="497" t="e">
        <f>"Target Max Length to U7 
["&amp;$B$2&amp;"]"</f>
        <v>#REF!</v>
      </c>
      <c r="AF42" s="498" t="e">
        <f>"Routed Too Short to U7 [" &amp;$B$2&amp;"]"</f>
        <v>#REF!</v>
      </c>
      <c r="AG42" s="496" t="e">
        <f>"Routed Too Long to U7 [" &amp;$B$2&amp;"]"</f>
        <v>#REF!</v>
      </c>
      <c r="AH42" s="2"/>
      <c r="AI42" s="2"/>
      <c r="AJ42" s="2"/>
      <c r="AK42" s="2"/>
      <c r="AL42" s="499" t="s">
        <v>494</v>
      </c>
      <c r="AM42" s="500" t="e">
        <f>"L6-2 Length Test (&lt;=" &amp; IF($B$2="mil",1,0.0254)*1000&amp;$B$2&amp;")"</f>
        <v>#REF!</v>
      </c>
      <c r="AN42" s="499" t="s">
        <v>494</v>
      </c>
      <c r="AO42" s="497" t="e">
        <f>"L7-3 Length Test (&lt;=" &amp; IF($B$2="mil",1,0.0254)*1000&amp;$B$2&amp;")"</f>
        <v>#REF!</v>
      </c>
      <c r="AQ42" s="500" t="e">
        <f>"L8-5 Length Test (&lt;=" &amp; IF($B$2="mil",1,0.0254)*750&amp;$B$2&amp;")"</f>
        <v>#REF!</v>
      </c>
      <c r="AR42" s="500" t="e">
        <f>"L8-6 Length Test (&lt;=" &amp; IF($B$2="mil",1,0.0254)*750&amp;$B$2&amp;")"</f>
        <v>#REF!</v>
      </c>
      <c r="AS42" s="500" t="e">
        <f>"L9-5 Length Test (&lt;=" &amp; IF($B$2="mil",1,0.0254)*200&amp;$B$2&amp;") or (L8-5+L9-5&lt;= "&amp;IF($B$2="mil",1,0.0254)*950&amp;$B$2&amp;")"</f>
        <v>#REF!</v>
      </c>
      <c r="AT42" s="500" t="e">
        <f>"L9-6 Length Test (&lt;=" &amp; IF($B$2="mil",1,0.0254)*200&amp;$B$2&amp;") or (L8-6+L9-6&lt;= "&amp;IF($B$2="mil",1,0.0254)*950&amp;$B$2&amp;")"</f>
        <v>#REF!</v>
      </c>
      <c r="AU42" s="497" t="e">
        <f>"Total Length to U3 (L0+L1+L2+L5+L6-2+L7-3+L8-5+L9-5) Test
 ("&amp;IF($B$2="mil",1,0.0254)*500&amp;"-"&amp;IF($B$2="mil",1,0.0254)*6500&amp;IF($B$2="mil","mil","mm")&amp;")"</f>
        <v>#REF!</v>
      </c>
      <c r="AV42" s="497" t="e">
        <f>"Total Length to U3 (P1+L0+L1+L2+L5+L6-2+L7-3+L8-5+L9-5) Test
 (&lt;="&amp;IF($B$2="mil",1,25.4)*7000&amp;IF($B$2="mil","mil","mm")&amp;")"</f>
        <v>#REF!</v>
      </c>
      <c r="AW42" s="497" t="e">
        <f>"Total Length to U7 (L0+L1+L2+L5+L6-2+L7-3+L8-6+L9-6) Test
 ("&amp;IF($B$2="mil",1,0.0254)*500&amp;"-"&amp;IF($B$2="mil",1,0.0254)*6500&amp;IF($B$2="mil","mil","mm")&amp;")"</f>
        <v>#REF!</v>
      </c>
      <c r="AX42" s="497" t="e">
        <f>"Total Length to U7 (P1+L0+L1+L2+L5+L6-2+L7-3+L8-6+L9-6) Test
 (&lt;="&amp;IF($B$2="mil",1,25.4)*7000&amp;IF($B$2="mil","mil","mm")&amp;")"</f>
        <v>#REF!</v>
      </c>
      <c r="AY42" s="2"/>
      <c r="AZ42" s="2"/>
    </row>
    <row r="43" spans="15:52" x14ac:dyDescent="0.2">
      <c r="O43" s="2"/>
      <c r="P43" s="134" t="s">
        <v>258</v>
      </c>
      <c r="Q43" s="135"/>
      <c r="R43" s="135"/>
      <c r="S43" s="135"/>
      <c r="T43" s="135"/>
      <c r="U43" s="135"/>
      <c r="V43" s="135"/>
      <c r="W43" s="135"/>
      <c r="X43" s="135"/>
      <c r="Y43" s="385"/>
      <c r="Z43" s="135"/>
      <c r="AA43" s="135"/>
      <c r="AB43" s="135"/>
      <c r="AC43" s="135"/>
      <c r="AD43" s="135"/>
      <c r="AE43" s="135"/>
      <c r="AF43" s="135"/>
      <c r="AG43" s="501"/>
      <c r="AH43" s="2"/>
      <c r="AI43" s="2"/>
      <c r="AJ43" s="2"/>
      <c r="AK43" s="2"/>
      <c r="AL43" s="134" t="s">
        <v>258</v>
      </c>
      <c r="AM43" s="135"/>
      <c r="AN43" s="134" t="s">
        <v>258</v>
      </c>
      <c r="AO43" s="501"/>
      <c r="AQ43" s="135"/>
      <c r="AR43" s="135"/>
      <c r="AS43" s="135"/>
      <c r="AT43" s="135"/>
      <c r="AU43" s="135"/>
      <c r="AV43" s="137"/>
      <c r="AW43" s="135"/>
      <c r="AX43" s="137"/>
      <c r="AY43" s="2"/>
      <c r="AZ43" s="2"/>
    </row>
    <row r="44" spans="15:52" x14ac:dyDescent="0.2">
      <c r="O44" s="2"/>
      <c r="P44" s="235" t="s">
        <v>262</v>
      </c>
      <c r="Q44" s="143"/>
      <c r="R44" s="143"/>
      <c r="S44" s="143"/>
      <c r="T44" s="143"/>
      <c r="U44" s="143"/>
      <c r="V44" s="143"/>
      <c r="W44" s="502" t="s">
        <v>274</v>
      </c>
      <c r="X44" s="487" t="e">
        <f>MIN('DDR2 Clocks - 4L'!$O$13:$O$14)</f>
        <v>#REF!</v>
      </c>
      <c r="Y44" s="484" t="e">
        <f>MAX('DDR2 Clocks - 4L'!$O$13:$O$14)</f>
        <v>#REF!</v>
      </c>
      <c r="Z44" s="487"/>
      <c r="AA44" s="145"/>
      <c r="AB44" s="143"/>
      <c r="AC44" s="502" t="s">
        <v>334</v>
      </c>
      <c r="AD44" s="487" t="e">
        <f>MIN('DDR2 Clocks - 4L'!$O$15:$O$16)</f>
        <v>#REF!</v>
      </c>
      <c r="AE44" s="486" t="e">
        <f>MAX('DDR2 Clocks - 4L'!$O$15:$O$16)</f>
        <v>#REF!</v>
      </c>
      <c r="AF44" s="487"/>
      <c r="AG44" s="145"/>
      <c r="AH44" s="2"/>
      <c r="AI44" s="2"/>
      <c r="AJ44" s="2"/>
      <c r="AK44" s="2"/>
      <c r="AL44" s="140" t="s">
        <v>262</v>
      </c>
      <c r="AM44" s="483"/>
      <c r="AN44" s="140" t="s">
        <v>262</v>
      </c>
      <c r="AO44" s="484"/>
      <c r="AQ44" s="483"/>
      <c r="AR44" s="483"/>
      <c r="AS44" s="483"/>
      <c r="AT44" s="483"/>
      <c r="AU44" s="483"/>
      <c r="AV44" s="484"/>
      <c r="AW44" s="483"/>
      <c r="AX44" s="484"/>
      <c r="AY44" s="2"/>
      <c r="AZ44" s="2"/>
    </row>
    <row r="45" spans="15:52" x14ac:dyDescent="0.2">
      <c r="O45" s="2"/>
      <c r="P45" s="134" t="s">
        <v>425</v>
      </c>
      <c r="Q45" s="157"/>
      <c r="R45" s="157"/>
      <c r="S45" s="157"/>
      <c r="T45" s="157"/>
      <c r="U45" s="157"/>
      <c r="V45" s="157"/>
      <c r="W45" s="155"/>
      <c r="X45" s="155"/>
      <c r="Y45" s="514"/>
      <c r="Z45" s="476"/>
      <c r="AA45" s="155"/>
      <c r="AB45" s="157"/>
      <c r="AC45" s="155"/>
      <c r="AD45" s="155"/>
      <c r="AE45" s="476"/>
      <c r="AF45" s="476"/>
      <c r="AG45" s="478"/>
      <c r="AH45" s="2"/>
      <c r="AI45" s="2"/>
      <c r="AJ45" s="2"/>
      <c r="AK45" s="2"/>
      <c r="AL45" s="134" t="s">
        <v>425</v>
      </c>
      <c r="AM45" s="155"/>
      <c r="AN45" s="134" t="s">
        <v>425</v>
      </c>
      <c r="AO45" s="478"/>
      <c r="AQ45" s="155"/>
      <c r="AR45" s="155"/>
      <c r="AS45" s="155"/>
      <c r="AT45" s="155"/>
      <c r="AU45" s="155"/>
      <c r="AV45" s="244"/>
      <c r="AW45" s="155"/>
      <c r="AX45" s="244"/>
      <c r="AY45" s="2"/>
      <c r="AZ45" s="2"/>
    </row>
    <row r="46" spans="15:52" x14ac:dyDescent="0.2">
      <c r="O46" s="2"/>
      <c r="P46" s="161" t="s">
        <v>73</v>
      </c>
      <c r="Q46" s="270">
        <v>565.69000000000005</v>
      </c>
      <c r="R46" s="364">
        <v>300</v>
      </c>
      <c r="S46" s="364">
        <v>300</v>
      </c>
      <c r="T46" s="364">
        <v>50</v>
      </c>
      <c r="U46" s="364">
        <v>50</v>
      </c>
      <c r="V46" s="490">
        <f>SUM($E20:$G20,$M20,$P20,$Q46:$R46,$T46)</f>
        <v>4309.7299999999996</v>
      </c>
      <c r="W46" s="479" t="e">
        <f>$V46+IF($B$2="mil",1,0.0254)*$C20</f>
        <v>#REF!</v>
      </c>
      <c r="X46" s="469" t="e">
        <f>$Y$44 + IF($B$2="mil",1,0.0254)*DDR2Specs!$E$9</f>
        <v>#REF!</v>
      </c>
      <c r="Y46" s="492" t="e">
        <f>$X$44 + IF($B$2="mil",1,0.0254)*DDR2Specs!$F$9</f>
        <v>#REF!</v>
      </c>
      <c r="Z46" s="491" t="e">
        <f>IF($W46&lt;$X46,$X46-$W46,"Pass")</f>
        <v>#REF!</v>
      </c>
      <c r="AA46" s="492" t="e">
        <f>IF($W46&gt;$Y46,$W46-$Y46,"Pass")</f>
        <v>#REF!</v>
      </c>
      <c r="AB46" s="490">
        <f>SUM($E20:$G20,$M20,$P20,$Q46,$S46,$U46)</f>
        <v>4309.7299999999996</v>
      </c>
      <c r="AC46" s="469" t="e">
        <f>$AB46+IF($B$2="mil",1,0.0254)*$C20</f>
        <v>#REF!</v>
      </c>
      <c r="AD46" s="469" t="e">
        <f>$AE$44 + IF($B$2="mil",1,0.0254)*DDR2Specs!$E$9</f>
        <v>#REF!</v>
      </c>
      <c r="AE46" s="469" t="e">
        <f>$AD$44 + IF($B$2="mil",1,0.0254)*DDR2Specs!$F$9</f>
        <v>#REF!</v>
      </c>
      <c r="AF46" s="491" t="e">
        <f>IF($AC46&lt;$AD46,$AD46-$AC46,"Pass")</f>
        <v>#REF!</v>
      </c>
      <c r="AG46" s="492" t="e">
        <f>IF($AC46&gt;$AE46,$AC46-$AE46,"Pass")</f>
        <v>#REF!</v>
      </c>
      <c r="AH46" s="2"/>
      <c r="AI46" s="2"/>
      <c r="AJ46" s="2"/>
      <c r="AK46" s="2"/>
      <c r="AL46" s="503" t="s">
        <v>73</v>
      </c>
      <c r="AM46" s="504" t="e">
        <f>IF(P20&lt;=IF($B$2="mil",1,0.0254)*1000,"Pass",IF($B$2="mil",1,0.0254)*1000-P20)</f>
        <v>#REF!</v>
      </c>
      <c r="AN46" s="503" t="s">
        <v>73</v>
      </c>
      <c r="AO46" s="474" t="e">
        <f>IF($Q46&lt;=IF($B$2="mil",1,0.0254)*1000,"Pass",IF($B$2="mil",1,0.0254)*1000-$Q46)</f>
        <v>#REF!</v>
      </c>
      <c r="AQ46" s="473" t="e">
        <f>IF($R46&lt;=IF($B$2="mil",1,0.0254)*750,"Pass",IF($B$2="mil",1,0.0254)*750-$R46)</f>
        <v>#REF!</v>
      </c>
      <c r="AR46" s="473" t="e">
        <f>IF($S46&lt;=IF($B$2="mil",1,0.0254)*750,"Pass",IF($B$2="mil",1,0.0254)*750-$S46)</f>
        <v>#REF!</v>
      </c>
      <c r="AS46" s="473" t="e">
        <f t="shared" ref="AS46:AT48" ca="1" si="8">CheckLength2(IF($B$2="mil",1,0.0254)*950,R46,T46,0)</f>
        <v>#NAME?</v>
      </c>
      <c r="AT46" s="473" t="e">
        <f t="shared" ca="1" si="8"/>
        <v>#NAME?</v>
      </c>
      <c r="AU46" s="473" t="e">
        <f>IF(AND(V46&gt;=IF($B$2="mil",1,0.0254)*500, $V46&lt;=IF($B$2="mil",1,0.0254)*6500),"Pass",IF($B$2="mil",1,0.0254)*6500-$V46)</f>
        <v>#REF!</v>
      </c>
      <c r="AV46" s="504" t="e">
        <f>IF(AND($W46&gt;=IF($B$2="mil",1,0.0254)*500, $W46&lt;=IF($B$2="mil",1,0.0254)*7000),"Pass",IF($B$2="mil",1,0.0254)*7000-$W46)</f>
        <v>#REF!</v>
      </c>
      <c r="AW46" s="473" t="e">
        <f>IF(AND($AB46&gt;=IF($B$2="mil",1,0.0254)*500, $AB46&lt;=IF($B$2="mil",1,0.0254)*6500),"Pass",IF($B$2="mil",1,0.0254)*6500-$AB46)</f>
        <v>#REF!</v>
      </c>
      <c r="AX46" s="474" t="e">
        <f>IF(AND($AC46&gt;=IF($B$2="mil",1,0.0254)*500, $AC46&lt;=IF($B$2="mil",1,0.0254)*7000),"Pass",IF($B$2="mil",1,0.0254)*7000-$AC46)</f>
        <v>#REF!</v>
      </c>
      <c r="AY46" s="4" t="e">
        <f ca="1">IF(AND(Z46="Pass",AA46="Pass",AF46="Pass",AG46="Pass",AM46="Pass",AO46="Pass",AQ46="Pass",AR46="Pass",AS46="Pass",AT46="Pass",AU46="Pass",AV46="Pass",AW46="Pass",AX46="Pass"),"Pass","Fail")</f>
        <v>#REF!</v>
      </c>
      <c r="AZ46" s="4" t="e">
        <f ca="1">IF(AND(AY46="Pass",AY47="Pass",AY48="Pass"),"Pass","Fail")</f>
        <v>#REF!</v>
      </c>
    </row>
    <row r="47" spans="15:52" x14ac:dyDescent="0.2">
      <c r="O47" s="2"/>
      <c r="P47" s="161" t="s">
        <v>75</v>
      </c>
      <c r="Q47" s="270">
        <v>587.88</v>
      </c>
      <c r="R47" s="364">
        <v>460</v>
      </c>
      <c r="S47" s="364">
        <v>460</v>
      </c>
      <c r="T47" s="364">
        <v>50</v>
      </c>
      <c r="U47" s="364">
        <v>50</v>
      </c>
      <c r="V47" s="490">
        <f>SUM($E21:$G21,$M21,$P21,$Q47:$R47,$T47)</f>
        <v>4329.49</v>
      </c>
      <c r="W47" s="479" t="e">
        <f>$V47+IF($B$2="mil",1,0.0254)*$C21</f>
        <v>#REF!</v>
      </c>
      <c r="X47" s="469" t="e">
        <f>$Y$44 + IF($B$2="mil",1,0.0254)*DDR2Specs!$E$9</f>
        <v>#REF!</v>
      </c>
      <c r="Y47" s="492" t="e">
        <f>$X$44 + IF($B$2="mil",1,0.0254)*DDR2Specs!$F$9</f>
        <v>#REF!</v>
      </c>
      <c r="Z47" s="491" t="e">
        <f>IF($W47&lt;$X47,$X47-$W47,"Pass")</f>
        <v>#REF!</v>
      </c>
      <c r="AA47" s="492" t="e">
        <f>IF($W47&gt;$Y47,$W47-$Y47,"Pass")</f>
        <v>#REF!</v>
      </c>
      <c r="AB47" s="490">
        <f>SUM($E21:$G21,$M21,$P21,$Q47,$S47,$U47)</f>
        <v>4329.49</v>
      </c>
      <c r="AC47" s="469" t="e">
        <f>$AB47+IF($B$2="mil",1,0.0254)*$C21</f>
        <v>#REF!</v>
      </c>
      <c r="AD47" s="469" t="e">
        <f>$AE$44 + IF($B$2="mil",1,0.0254)*DDR2Specs!$E$9</f>
        <v>#REF!</v>
      </c>
      <c r="AE47" s="469" t="e">
        <f>$AD$44 + IF($B$2="mil",1,0.0254)*DDR2Specs!$F$9</f>
        <v>#REF!</v>
      </c>
      <c r="AF47" s="491" t="e">
        <f>IF($AC47&lt;$AD47,$AD47-$AC47,"Pass")</f>
        <v>#REF!</v>
      </c>
      <c r="AG47" s="492" t="e">
        <f>IF($AC47&gt;$AE47,$AC47-$AE47,"Pass")</f>
        <v>#REF!</v>
      </c>
      <c r="AH47" s="2"/>
      <c r="AI47" s="2"/>
      <c r="AJ47" s="2"/>
      <c r="AK47" s="2"/>
      <c r="AL47" s="503" t="s">
        <v>75</v>
      </c>
      <c r="AM47" s="504" t="e">
        <f>IF(P21&lt;=IF($B$2="mil",1,0.0254)*1000,"Pass",IF($B$2="mil",1,0.0254)*1000-P21)</f>
        <v>#REF!</v>
      </c>
      <c r="AN47" s="503" t="s">
        <v>75</v>
      </c>
      <c r="AO47" s="474" t="e">
        <f>IF($Q47&lt;=IF($B$2="mil",1,0.0254)*1000,"Pass",IF($B$2="mil",1,0.0254)*1000-$Q47)</f>
        <v>#REF!</v>
      </c>
      <c r="AQ47" s="473" t="e">
        <f>IF($R47&lt;=IF($B$2="mil",1,0.0254)*750,"Pass",IF($B$2="mil",1,0.0254)*750-$R47)</f>
        <v>#REF!</v>
      </c>
      <c r="AR47" s="473" t="e">
        <f>IF($S47&lt;=IF($B$2="mil",1,0.0254)*750,"Pass",IF($B$2="mil",1,0.0254)*750-$S47)</f>
        <v>#REF!</v>
      </c>
      <c r="AS47" s="473" t="e">
        <f t="shared" ca="1" si="8"/>
        <v>#NAME?</v>
      </c>
      <c r="AT47" s="473" t="e">
        <f t="shared" ca="1" si="8"/>
        <v>#NAME?</v>
      </c>
      <c r="AU47" s="473" t="e">
        <f>IF(AND(V47&gt;=IF($B$2="mil",1,0.0254)*500, $V47&lt;=IF($B$2="mil",1,0.0254)*6500),"Pass",IF($B$2="mil",1,0.0254)*6500-$V47)</f>
        <v>#REF!</v>
      </c>
      <c r="AV47" s="504" t="e">
        <f>IF(AND($W47&gt;=IF($B$2="mil",1,0.0254)*500, $W47&lt;=IF($B$2="mil",1,0.0254)*7000),"Pass",IF($B$2="mil",1,0.0254)*7000-$W47)</f>
        <v>#REF!</v>
      </c>
      <c r="AW47" s="473" t="e">
        <f>IF(AND($AB47&gt;=IF($B$2="mil",1,0.0254)*500, $AB47&lt;=IF($B$2="mil",1,0.0254)*6500),"Pass",IF($B$2="mil",1,0.0254)*6500-$AB47)</f>
        <v>#REF!</v>
      </c>
      <c r="AX47" s="474" t="e">
        <f>IF(AND($AC47&gt;=IF($B$2="mil",1,0.0254)*500, $AC47&lt;=IF($B$2="mil",1,0.0254)*7000),"Pass",IF($B$2="mil",1,0.0254)*7000-$AC47)</f>
        <v>#REF!</v>
      </c>
      <c r="AY47" s="4" t="e">
        <f t="shared" ref="AY47:AY54" ca="1" si="9">IF(AND(Z47="Pass",AA47="Pass",AF47="Pass",AG47="Pass",AM47="Pass",AO47="Pass",AQ47="Pass",AR47="Pass",AS47="Pass",AT47="Pass",AU47="Pass",AV47="Pass",AW47="Pass",AX47="Pass"),"Pass","Fail")</f>
        <v>#REF!</v>
      </c>
    </row>
    <row r="48" spans="15:52" x14ac:dyDescent="0.2">
      <c r="O48" s="2"/>
      <c r="P48" s="161" t="s">
        <v>77</v>
      </c>
      <c r="Q48" s="270">
        <v>565.69000000000005</v>
      </c>
      <c r="R48" s="364">
        <v>520</v>
      </c>
      <c r="S48" s="364">
        <v>550</v>
      </c>
      <c r="T48" s="364">
        <v>50</v>
      </c>
      <c r="U48" s="364">
        <v>50</v>
      </c>
      <c r="V48" s="490">
        <f>SUM($E22:$G22,$M22,$P22,$Q48:$R48,$T48)</f>
        <v>4272.58</v>
      </c>
      <c r="W48" s="479" t="e">
        <f>$V48+IF($B$2="mil",1,0.0254)*$C22</f>
        <v>#REF!</v>
      </c>
      <c r="X48" s="469" t="e">
        <f>$Y$44 + IF($B$2="mil",1,0.0254)*DDR2Specs!$E$9</f>
        <v>#REF!</v>
      </c>
      <c r="Y48" s="492" t="e">
        <f>$X$44 + IF($B$2="mil",1,0.0254)*DDR2Specs!$F$9</f>
        <v>#REF!</v>
      </c>
      <c r="Z48" s="491" t="e">
        <f>IF($W48&lt;$X48,$X48-$W48,"Pass")</f>
        <v>#REF!</v>
      </c>
      <c r="AA48" s="492" t="e">
        <f>IF($W48&gt;$Y48,$W48-$Y48,"Pass")</f>
        <v>#REF!</v>
      </c>
      <c r="AB48" s="490">
        <f>SUM($E22:$G22,$M22,$P22,$Q48,$S48,$U48)</f>
        <v>4302.58</v>
      </c>
      <c r="AC48" s="469" t="e">
        <f>$AB48+IF($B$2="mil",1,0.0254)*$C22</f>
        <v>#REF!</v>
      </c>
      <c r="AD48" s="469" t="e">
        <f>$AE$44 + IF($B$2="mil",1,0.0254)*DDR2Specs!$E$9</f>
        <v>#REF!</v>
      </c>
      <c r="AE48" s="469" t="e">
        <f>$AD$44 + IF($B$2="mil",1,0.0254)*DDR2Specs!$F$9</f>
        <v>#REF!</v>
      </c>
      <c r="AF48" s="491" t="e">
        <f>IF($AC48&lt;$AD48,$AD48-$AC48,"Pass")</f>
        <v>#REF!</v>
      </c>
      <c r="AG48" s="492" t="e">
        <f>IF($AC48&gt;$AE48,$AC48-$AE48,"Pass")</f>
        <v>#REF!</v>
      </c>
      <c r="AH48" s="2"/>
      <c r="AI48" s="2"/>
      <c r="AJ48" s="2"/>
      <c r="AK48" s="2"/>
      <c r="AL48" s="503" t="s">
        <v>77</v>
      </c>
      <c r="AM48" s="504" t="e">
        <f>IF(P22&lt;=IF($B$2="mil",1,0.0254)*1000,"Pass",IF($B$2="mil",1,0.0254)*1000-P22)</f>
        <v>#REF!</v>
      </c>
      <c r="AN48" s="503" t="s">
        <v>77</v>
      </c>
      <c r="AO48" s="474" t="e">
        <f>IF($Q48&lt;=IF($B$2="mil",1,0.0254)*1000,"Pass",IF($B$2="mil",1,0.0254)*1000-$Q48)</f>
        <v>#REF!</v>
      </c>
      <c r="AQ48" s="473" t="e">
        <f>IF($R48&lt;=IF($B$2="mil",1,0.0254)*750,"Pass",IF($B$2="mil",1,0.0254)*750-$R48)</f>
        <v>#REF!</v>
      </c>
      <c r="AR48" s="473" t="e">
        <f>IF($S48&lt;=IF($B$2="mil",1,0.0254)*750,"Pass",IF($B$2="mil",1,0.0254)*750-$S48)</f>
        <v>#REF!</v>
      </c>
      <c r="AS48" s="473" t="e">
        <f t="shared" ca="1" si="8"/>
        <v>#NAME?</v>
      </c>
      <c r="AT48" s="473" t="e">
        <f t="shared" ca="1" si="8"/>
        <v>#NAME?</v>
      </c>
      <c r="AU48" s="473" t="e">
        <f>IF(AND(V48&gt;=IF($B$2="mil",1,0.0254)*500, $V48&lt;=IF($B$2="mil",1,0.0254)*6500),"Pass",IF($B$2="mil",1,0.0254)*6500-$V48)</f>
        <v>#REF!</v>
      </c>
      <c r="AV48" s="504" t="e">
        <f>IF(AND($W48&gt;=IF($B$2="mil",1,0.0254)*500, $W48&lt;=IF($B$2="mil",1,0.0254)*7000),"Pass",IF($B$2="mil",1,0.0254)*7000-$W48)</f>
        <v>#REF!</v>
      </c>
      <c r="AW48" s="473" t="e">
        <f>IF(AND($AB48&gt;=IF($B$2="mil",1,0.0254)*500, $AB48&lt;=IF($B$2="mil",1,0.0254)*6500),"Pass",IF($B$2="mil",1,0.0254)*6500-$AB48)</f>
        <v>#REF!</v>
      </c>
      <c r="AX48" s="474" t="e">
        <f>IF(AND($AC48&gt;=IF($B$2="mil",1,0.0254)*500, $AC48&lt;=IF($B$2="mil",1,0.0254)*7000),"Pass",IF($B$2="mil",1,0.0254)*7000-$AC48)</f>
        <v>#REF!</v>
      </c>
      <c r="AY48" s="4" t="e">
        <f t="shared" ca="1" si="9"/>
        <v>#REF!</v>
      </c>
      <c r="AZ48" s="2"/>
    </row>
    <row r="49" spans="5:52" x14ac:dyDescent="0.2">
      <c r="O49" s="2"/>
      <c r="P49" s="192" t="s">
        <v>494</v>
      </c>
      <c r="Q49" s="123" t="e">
        <f>"Trace L7-3 ["&amp;$B$2&amp;"]"</f>
        <v>#REF!</v>
      </c>
      <c r="R49" s="123" t="e">
        <f>"Trace L8-5 to U3 ["&amp;$B$2&amp;"]"</f>
        <v>#REF!</v>
      </c>
      <c r="S49" s="123" t="e">
        <f>"Trace L8-6 to U7 ["&amp;$B$2&amp;"]"</f>
        <v>#REF!</v>
      </c>
      <c r="T49" s="123" t="e">
        <f>"Trace L9-5 to U3 ["&amp;$B$2&amp;"]"</f>
        <v>#REF!</v>
      </c>
      <c r="U49" s="123" t="e">
        <f>"Trace L9-6 to U7 ["&amp;$B$2&amp;"]"</f>
        <v>#REF!</v>
      </c>
      <c r="V49" s="495" t="e">
        <f>"Total MB Length to U3 (L0+L1+L2+L5+L6-2+L7-3+L8-5+L9-5) ["&amp;$B$2&amp;"]"</f>
        <v>#REF!</v>
      </c>
      <c r="W49" s="495" t="e">
        <f>"Total Pad to Pin U3 (P1+L0+L1+L2+L5+L6-2+L7-3+L8-5+L9-5) ["&amp;$B$2&amp;"]"</f>
        <v>#REF!</v>
      </c>
      <c r="X49" s="496" t="e">
        <f>"Target Min Length to U3
["&amp;$B$2&amp;"]"</f>
        <v>#REF!</v>
      </c>
      <c r="Y49" s="497" t="e">
        <f>"Target Max Length to U3 
["&amp;$B$2&amp;"]"</f>
        <v>#REF!</v>
      </c>
      <c r="Z49" s="498" t="e">
        <f>"Routed Too Short to U3 [" &amp;$B$2&amp;"]"</f>
        <v>#REF!</v>
      </c>
      <c r="AA49" s="496" t="e">
        <f>"Routed Too Long to U3 [" &amp;$B$2&amp;"]"</f>
        <v>#REF!</v>
      </c>
      <c r="AB49" s="495" t="e">
        <f>"Total MB Length to U7 (L0+L1+L2+L5+L6-2+L7-3+L8-6+L9-6) ["&amp;$B$2&amp;"]"</f>
        <v>#REF!</v>
      </c>
      <c r="AC49" s="495" t="e">
        <f>"Total Pad to Pin U7 (P1+L0+L1+L2+L5+L6-2+L7-3+L8-6+L9-6) ["&amp;$B$2&amp;"]"</f>
        <v>#REF!</v>
      </c>
      <c r="AD49" s="496" t="e">
        <f>"Target Min Length to U7
["&amp;$B$2&amp;"]"</f>
        <v>#REF!</v>
      </c>
      <c r="AE49" s="497" t="e">
        <f>"Target Max Length to U7 
["&amp;$B$2&amp;"]"</f>
        <v>#REF!</v>
      </c>
      <c r="AF49" s="498" t="e">
        <f>"Routed Too Short to U7 [" &amp;$B$2&amp;"]"</f>
        <v>#REF!</v>
      </c>
      <c r="AG49" s="496" t="e">
        <f>"Routed Too Long to U7 [" &amp;$B$2&amp;"]"</f>
        <v>#REF!</v>
      </c>
      <c r="AH49" s="2"/>
      <c r="AI49" s="2"/>
      <c r="AJ49" s="2"/>
      <c r="AK49" s="2"/>
      <c r="AL49" s="499" t="s">
        <v>494</v>
      </c>
      <c r="AM49" s="500" t="e">
        <f>"L6-2 Length Test (&lt;=" &amp; IF($B$2="mil",1,0.0254)*1000&amp;$B$2&amp;")"</f>
        <v>#REF!</v>
      </c>
      <c r="AN49" s="499" t="s">
        <v>494</v>
      </c>
      <c r="AO49" s="497" t="e">
        <f>"L7-2 Length Test (&lt;=" &amp; IF($B$2="mil",1,0.0254)*1000&amp;$B$2&amp;")"</f>
        <v>#REF!</v>
      </c>
      <c r="AQ49" s="500" t="e">
        <f>"L8-3 Length Test (&lt;=" &amp; IF($B$2="mil",1,0.0254)*750&amp;$B$2&amp;")"</f>
        <v>#REF!</v>
      </c>
      <c r="AR49" s="500" t="e">
        <f>"L8-4 Length Test (&lt;=" &amp; IF($B$2="mil",1,0.0254)*750&amp;$B$2&amp;")"</f>
        <v>#REF!</v>
      </c>
      <c r="AS49" s="500" t="e">
        <f>"L9-3 Length Test (&lt;=" &amp; IF($B$2="mil",1,0.0254)*200&amp;$B$2&amp;") or (L8-3+L9-3&lt;= "&amp;IF($B$2="mil",1,0.0254)*950&amp;$B$2&amp;")"</f>
        <v>#REF!</v>
      </c>
      <c r="AT49" s="500" t="e">
        <f>"L9-4 Length Test (&lt;=" &amp; IF($B$2="mil",1,0.0254)*200&amp;$B$2&amp;") or (L8-4+L9-4&lt;= "&amp;IF($B$2="mil",1,0.0254)*950&amp;$B$2&amp;")"</f>
        <v>#REF!</v>
      </c>
      <c r="AU49" s="497" t="e">
        <f>"Total Length to U2 (L0+L1+L2+L5+L6-1+L7-2+L8-3+L9-3)Test
 ("&amp;IF($B$2="mil",1,0.0254)*500&amp;"-"&amp;IF($B$2="mil",1,0.0254)*6500&amp;IF($B$2="mil","mil","mm")&amp;")"</f>
        <v>#REF!</v>
      </c>
      <c r="AV49" s="497" t="e">
        <f>"Total Length to U2 (P1+L0+L1+L2+L5+L6-1+L7-2+L8-3+L9-3) Test
 (&lt;="&amp;IF($B$2="mil",1,25.4)*7000&amp;IF($B$2="mil","mil","mm")&amp;")"</f>
        <v>#REF!</v>
      </c>
      <c r="AW49" s="497" t="e">
        <f>"Total Length to U6 (L0+L1+L2+L5+L6-1+L7-2+L8-4+L9-4)Test
 ("&amp;IF($B$2="mil",1,0.0254)*500&amp;"-"&amp;IF($B$2="mil",1,0.0254)*6500&amp;IF($B$2="mil","mil","mm")&amp;")"</f>
        <v>#REF!</v>
      </c>
      <c r="AX49" s="497" t="e">
        <f>"Total Length to U6 (P1+L0+L1+L2+L5+L6-1+L7-2+L8-4+L9-4) Test
 (&lt;="&amp;IF($B$2="mil",1,25.4)*7000&amp;IF($B$2="mil","mil","mm")&amp;")"</f>
        <v>#REF!</v>
      </c>
      <c r="AY49" s="2"/>
      <c r="AZ49" s="2"/>
    </row>
    <row r="50" spans="5:52" x14ac:dyDescent="0.2">
      <c r="O50" s="2"/>
      <c r="P50" s="146" t="s">
        <v>262</v>
      </c>
      <c r="Q50" s="143"/>
      <c r="R50" s="143"/>
      <c r="S50" s="143"/>
      <c r="T50" s="143"/>
      <c r="U50" s="143"/>
      <c r="V50" s="143"/>
      <c r="W50" s="502" t="s">
        <v>274</v>
      </c>
      <c r="X50" s="529" t="e">
        <f>MIN('DDR2 Clocks - 4L'!$O$13:$O$14)</f>
        <v>#REF!</v>
      </c>
      <c r="Y50" s="484" t="e">
        <f>MAX('DDR2 Clocks - 4L'!$O$13:$O$14)</f>
        <v>#REF!</v>
      </c>
      <c r="Z50" s="486"/>
      <c r="AA50" s="486"/>
      <c r="AB50" s="143"/>
      <c r="AC50" s="502" t="s">
        <v>334</v>
      </c>
      <c r="AD50" s="529" t="e">
        <f>MIN('DDR2 Clocks - 4L'!$O$15:$O$16)</f>
        <v>#REF!</v>
      </c>
      <c r="AE50" s="486" t="e">
        <f>MAX('DDR2 Clocks - 4L'!$O$15:$O$16)</f>
        <v>#REF!</v>
      </c>
      <c r="AF50" s="486"/>
      <c r="AG50" s="486"/>
      <c r="AH50" s="2"/>
      <c r="AI50" s="2"/>
      <c r="AJ50" s="2"/>
      <c r="AK50" s="2"/>
      <c r="AL50" s="143" t="s">
        <v>262</v>
      </c>
      <c r="AM50" s="483"/>
      <c r="AN50" s="143" t="s">
        <v>262</v>
      </c>
      <c r="AO50" s="484"/>
      <c r="AQ50" s="483"/>
      <c r="AR50" s="483"/>
      <c r="AS50" s="483"/>
      <c r="AT50" s="483"/>
      <c r="AU50" s="483"/>
      <c r="AV50" s="483"/>
      <c r="AW50" s="483"/>
      <c r="AX50" s="484"/>
      <c r="AY50" s="2"/>
      <c r="AZ50" s="2"/>
    </row>
    <row r="51" spans="5:52" x14ac:dyDescent="0.2">
      <c r="F51" s="334" t="s">
        <v>296</v>
      </c>
      <c r="G51" s="334" t="s">
        <v>301</v>
      </c>
      <c r="P51" s="134" t="s">
        <v>426</v>
      </c>
      <c r="Q51" s="298"/>
      <c r="R51" s="182"/>
      <c r="S51" s="182"/>
      <c r="T51" s="388"/>
      <c r="U51" s="388"/>
      <c r="V51" s="182"/>
      <c r="W51" s="182"/>
      <c r="X51" s="182"/>
      <c r="Y51" s="515"/>
      <c r="Z51" s="385"/>
      <c r="AA51" s="385"/>
      <c r="AB51" s="182"/>
      <c r="AC51" s="182"/>
      <c r="AD51" s="182"/>
      <c r="AE51" s="182"/>
      <c r="AF51" s="385"/>
      <c r="AG51" s="494"/>
      <c r="AH51" s="2"/>
      <c r="AI51" s="2"/>
      <c r="AJ51" s="2"/>
      <c r="AK51" s="2"/>
      <c r="AL51" s="134" t="s">
        <v>426</v>
      </c>
      <c r="AM51" s="506"/>
      <c r="AN51" s="134" t="s">
        <v>426</v>
      </c>
      <c r="AO51" s="494"/>
      <c r="AQ51" s="385"/>
      <c r="AR51" s="385"/>
      <c r="AS51" s="385"/>
      <c r="AT51" s="385"/>
      <c r="AU51" s="385"/>
      <c r="AV51" s="506"/>
      <c r="AW51" s="385"/>
      <c r="AX51" s="494"/>
      <c r="AY51" s="2"/>
      <c r="AZ51" s="2"/>
    </row>
    <row r="52" spans="5:52" x14ac:dyDescent="0.2">
      <c r="F52" s="334" t="s">
        <v>295</v>
      </c>
      <c r="G52" s="334" t="s">
        <v>302</v>
      </c>
      <c r="P52" s="161" t="s">
        <v>74</v>
      </c>
      <c r="Q52" s="270">
        <v>564.66</v>
      </c>
      <c r="R52" s="303">
        <v>500</v>
      </c>
      <c r="S52" s="303">
        <v>500</v>
      </c>
      <c r="T52" s="364">
        <v>50</v>
      </c>
      <c r="U52" s="364">
        <v>50</v>
      </c>
      <c r="V52" s="490">
        <f>SUM($E26:$G26,$M26,$P26,$Q52:$R52,$T52)</f>
        <v>4335.28</v>
      </c>
      <c r="W52" s="469" t="e">
        <f>$V52+IF($B$2="mil",1,0.0254)*$C26</f>
        <v>#REF!</v>
      </c>
      <c r="X52" s="469" t="e">
        <f>$Y$44 + IF($B$2="mil",1,0.0254)*DDR2Specs!$E$9</f>
        <v>#REF!</v>
      </c>
      <c r="Y52" s="492" t="e">
        <f>$X$44 + IF($B$2="mil",1,0.0254)*DDR2Specs!$F$9</f>
        <v>#REF!</v>
      </c>
      <c r="Z52" s="491" t="e">
        <f>IF($W52&lt;$X52,$X52-$W52,"Pass")</f>
        <v>#REF!</v>
      </c>
      <c r="AA52" s="492" t="e">
        <f>IF($W52&gt;$Y52,$W52-$Y52,"Pass")</f>
        <v>#REF!</v>
      </c>
      <c r="AB52" s="490">
        <f>SUM($E26:$G26,$M26,$P26,$Q52,$S52,$U52)</f>
        <v>4335.28</v>
      </c>
      <c r="AC52" s="469" t="e">
        <f>$AB52+IF($B$2="mil",1,0.0254)*$C26</f>
        <v>#REF!</v>
      </c>
      <c r="AD52" s="469" t="e">
        <f>$AE$44 + IF($B$2="mil",1,0.0254)*DDR2Specs!$E$9</f>
        <v>#REF!</v>
      </c>
      <c r="AE52" s="469" t="e">
        <f>$AD$44 + IF($B$2="mil",1,0.0254)*DDR2Specs!$F$9</f>
        <v>#REF!</v>
      </c>
      <c r="AF52" s="491" t="e">
        <f>IF($AC52&lt;$AD52,$AD52-$AC52,"Pass")</f>
        <v>#REF!</v>
      </c>
      <c r="AG52" s="492" t="e">
        <f>IF($AC52&gt;$AE52,$AC52-$AE52,"Pass")</f>
        <v>#REF!</v>
      </c>
      <c r="AH52" s="2"/>
      <c r="AI52" s="2"/>
      <c r="AJ52" s="2"/>
      <c r="AK52" s="2"/>
      <c r="AL52" s="503" t="s">
        <v>74</v>
      </c>
      <c r="AM52" s="504" t="e">
        <f>IF(P26&lt;=IF($B$2="mil",1,0.0254)*1000,"Pass",IF($B$2="mil",1,0.0254)*1000-P26)</f>
        <v>#REF!</v>
      </c>
      <c r="AN52" s="503" t="s">
        <v>74</v>
      </c>
      <c r="AO52" s="474" t="e">
        <f>IF($Q52&lt;=IF($B$2="mil",1,0.0254)*1000,"Pass",IF($B$2="mil",1,0.0254)*1000-$Q52)</f>
        <v>#REF!</v>
      </c>
      <c r="AQ52" s="473" t="e">
        <f>IF($R52&lt;=IF($B$2="mil",1,0.0254)*750,"Pass",IF($B$2="mil",1,0.0254)*750-$R52)</f>
        <v>#REF!</v>
      </c>
      <c r="AR52" s="473" t="e">
        <f>IF($S52&lt;=IF($B$2="mil",1,0.0254)*750,"Pass",IF($B$2="mil",1,0.0254)*750-$S52)</f>
        <v>#REF!</v>
      </c>
      <c r="AS52" s="473" t="e">
        <f t="shared" ref="AS52:AT54" ca="1" si="10">CheckLength2(IF($B$2="mil",1,0.0254)*950,R52,T52,0)</f>
        <v>#NAME?</v>
      </c>
      <c r="AT52" s="473" t="e">
        <f t="shared" ca="1" si="10"/>
        <v>#NAME?</v>
      </c>
      <c r="AU52" s="473" t="e">
        <f>IF(AND(V52&gt;=IF($B$2="mil",1,0.0254)*500, $V52&lt;=IF($B$2="mil",1,0.0254)*6500),"Pass",IF($B$2="mil",1,0.0254)*6500-$V52)</f>
        <v>#REF!</v>
      </c>
      <c r="AV52" s="504" t="e">
        <f>IF(AND($W52&gt;=IF($B$2="mil",1,0.0254)*500, $W52&lt;=IF($B$2="mil",1,0.0254)*7000),"Pass",IF($B$2="mil",1,0.0254)*7000-$W52)</f>
        <v>#REF!</v>
      </c>
      <c r="AW52" s="473" t="e">
        <f>IF(AND($AB52&gt;=IF($B$2="mil",1,0.0254)*500, $AB52&lt;=IF($B$2="mil",1,0.0254)*6500),"Pass",IF($B$2="mil",1,0.0254)*6500-$AB52)</f>
        <v>#REF!</v>
      </c>
      <c r="AX52" s="474" t="e">
        <f>IF(AND($AC52&gt;=IF($B$2="mil",1,0.0254)*500, $AC52&lt;=IF($B$2="mil",1,0.0254)*7000),"Pass",IF($B$2="mil",1,0.0254)*7000-$AC52)</f>
        <v>#REF!</v>
      </c>
      <c r="AY52" s="4" t="e">
        <f t="shared" ca="1" si="9"/>
        <v>#REF!</v>
      </c>
      <c r="AZ52" s="4" t="e">
        <f ca="1">IF(AND(AY52="Pass",AY53="Pass",AY54="Pass"),"Pass","Fail")</f>
        <v>#REF!</v>
      </c>
    </row>
    <row r="53" spans="5:52" x14ac:dyDescent="0.2">
      <c r="P53" s="161" t="s">
        <v>76</v>
      </c>
      <c r="Q53" s="270">
        <v>578.77</v>
      </c>
      <c r="R53" s="303">
        <v>500</v>
      </c>
      <c r="S53" s="303">
        <v>500</v>
      </c>
      <c r="T53" s="364">
        <v>50</v>
      </c>
      <c r="U53" s="364">
        <v>50</v>
      </c>
      <c r="V53" s="490">
        <f>SUM($E27:$G27,$M27,$P27,$Q53:$R53,$T53)</f>
        <v>4494.7999999999993</v>
      </c>
      <c r="W53" s="469" t="e">
        <f>$V53+IF($B$2="mil",1,0.0254)*$C27</f>
        <v>#REF!</v>
      </c>
      <c r="X53" s="469" t="e">
        <f>$Y$44 + IF($B$2="mil",1,0.0254)*DDR2Specs!$E$9</f>
        <v>#REF!</v>
      </c>
      <c r="Y53" s="492" t="e">
        <f>$X$44 + IF($B$2="mil",1,0.0254)*DDR2Specs!$F$9</f>
        <v>#REF!</v>
      </c>
      <c r="Z53" s="491" t="e">
        <f>IF($W53&lt;$X53,$X53-$W53,"Pass")</f>
        <v>#REF!</v>
      </c>
      <c r="AA53" s="492" t="e">
        <f>IF($W53&gt;$Y53,$W53-$Y53,"Pass")</f>
        <v>#REF!</v>
      </c>
      <c r="AB53" s="490">
        <f>SUM($E27:$G27,$M27,$P27,$Q53,$S53,$U53)</f>
        <v>4494.7999999999993</v>
      </c>
      <c r="AC53" s="469" t="e">
        <f>$AB53+IF($B$2="mil",1,0.0254)*$C27</f>
        <v>#REF!</v>
      </c>
      <c r="AD53" s="469" t="e">
        <f>$AE$44 + IF($B$2="mil",1,0.0254)*DDR2Specs!$E$9</f>
        <v>#REF!</v>
      </c>
      <c r="AE53" s="469" t="e">
        <f>$AD$44 + IF($B$2="mil",1,0.0254)*DDR2Specs!$F$9</f>
        <v>#REF!</v>
      </c>
      <c r="AF53" s="491" t="e">
        <f>IF($AC53&lt;$AD53,$AD53-$AC53,"Pass")</f>
        <v>#REF!</v>
      </c>
      <c r="AG53" s="492" t="e">
        <f>IF($AC53&gt;$AE53,$AC53-$AE53,"Pass")</f>
        <v>#REF!</v>
      </c>
      <c r="AH53" s="2"/>
      <c r="AI53" s="2"/>
      <c r="AJ53" s="2"/>
      <c r="AK53" s="2"/>
      <c r="AL53" s="503" t="s">
        <v>76</v>
      </c>
      <c r="AM53" s="504" t="e">
        <f>IF(P27&lt;=IF($B$2="mil",1,0.0254)*1000,"Pass",IF($B$2="mil",1,0.0254)*1000-P27)</f>
        <v>#REF!</v>
      </c>
      <c r="AN53" s="503" t="s">
        <v>76</v>
      </c>
      <c r="AO53" s="474" t="e">
        <f>IF($Q53&lt;=IF($B$2="mil",1,0.0254)*1000,"Pass",IF($B$2="mil",1,0.0254)*1000-$Q53)</f>
        <v>#REF!</v>
      </c>
      <c r="AQ53" s="473" t="e">
        <f>IF($R53&lt;=IF($B$2="mil",1,0.0254)*750,"Pass",IF($B$2="mil",1,0.0254)*750-$R53)</f>
        <v>#REF!</v>
      </c>
      <c r="AR53" s="473" t="e">
        <f>IF($S53&lt;=IF($B$2="mil",1,0.0254)*750,"Pass",IF($B$2="mil",1,0.0254)*750-$S53)</f>
        <v>#REF!</v>
      </c>
      <c r="AS53" s="473" t="e">
        <f t="shared" ca="1" si="10"/>
        <v>#NAME?</v>
      </c>
      <c r="AT53" s="473" t="e">
        <f t="shared" ca="1" si="10"/>
        <v>#NAME?</v>
      </c>
      <c r="AU53" s="473" t="e">
        <f>IF(AND(V53&gt;=IF($B$2="mil",1,0.0254)*500, $V53&lt;=IF($B$2="mil",1,0.0254)*6500),"Pass",IF($B$2="mil",1,0.0254)*6500-$V53)</f>
        <v>#REF!</v>
      </c>
      <c r="AV53" s="504" t="e">
        <f>IF(AND($W53&gt;=IF($B$2="mil",1,0.0254)*500, $W53&lt;=IF($B$2="mil",1,0.0254)*7000),"Pass",IF($B$2="mil",1,0.0254)*7000-$W53)</f>
        <v>#REF!</v>
      </c>
      <c r="AW53" s="473" t="e">
        <f>IF(AND($AB53&gt;=IF($B$2="mil",1,0.0254)*500, $AB53&lt;=IF($B$2="mil",1,0.0254)*6500),"Pass",IF($B$2="mil",1,0.0254)*6500-$AB53)</f>
        <v>#REF!</v>
      </c>
      <c r="AX53" s="474" t="e">
        <f>IF(AND($AC53&gt;=IF($B$2="mil",1,0.0254)*500, $AC53&lt;=IF($B$2="mil",1,0.0254)*7000),"Pass",IF($B$2="mil",1,0.0254)*7000-$AC53)</f>
        <v>#REF!</v>
      </c>
      <c r="AY53" s="4" t="e">
        <f t="shared" ca="1" si="9"/>
        <v>#REF!</v>
      </c>
      <c r="AZ53" s="2"/>
    </row>
    <row r="54" spans="5:52" x14ac:dyDescent="0.2">
      <c r="P54" s="161" t="s">
        <v>78</v>
      </c>
      <c r="Q54" s="270">
        <v>574.72</v>
      </c>
      <c r="R54" s="303">
        <v>500</v>
      </c>
      <c r="S54" s="303">
        <v>500</v>
      </c>
      <c r="T54" s="364">
        <v>50</v>
      </c>
      <c r="U54" s="364">
        <v>50</v>
      </c>
      <c r="V54" s="490">
        <f>SUM($E28:$G28,$M28,$P28,$Q54:$R54,$T54)</f>
        <v>4334.1899999999996</v>
      </c>
      <c r="W54" s="469" t="e">
        <f>$V54+IF($B$2="mil",1,0.0254)*$C28</f>
        <v>#REF!</v>
      </c>
      <c r="X54" s="469" t="e">
        <f>$Y$44 + IF($B$2="mil",1,0.0254)*DDR2Specs!$E$9</f>
        <v>#REF!</v>
      </c>
      <c r="Y54" s="492" t="e">
        <f>$X$44 + IF($B$2="mil",1,0.0254)*DDR2Specs!$F$9</f>
        <v>#REF!</v>
      </c>
      <c r="Z54" s="491" t="e">
        <f>IF($W54&lt;$X54,$X54-$W54,"Pass")</f>
        <v>#REF!</v>
      </c>
      <c r="AA54" s="492" t="e">
        <f>IF($W54&gt;$Y54,$W54-$Y54,"Pass")</f>
        <v>#REF!</v>
      </c>
      <c r="AB54" s="490">
        <f>SUM($E28:$G28,$M28,$P28,$Q54,$S54,$U54)</f>
        <v>4334.1899999999996</v>
      </c>
      <c r="AC54" s="469" t="e">
        <f>$AB54+IF($B$2="mil",1,0.0254)*$C28</f>
        <v>#REF!</v>
      </c>
      <c r="AD54" s="469" t="e">
        <f>$AE$44 + IF($B$2="mil",1,0.0254)*DDR2Specs!$E$9</f>
        <v>#REF!</v>
      </c>
      <c r="AE54" s="469" t="e">
        <f>$AD$44 + IF($B$2="mil",1,0.0254)*DDR2Specs!$F$9</f>
        <v>#REF!</v>
      </c>
      <c r="AF54" s="491" t="e">
        <f>IF($AC54&lt;$AD54,$AD54-$AC54,"Pass")</f>
        <v>#REF!</v>
      </c>
      <c r="AG54" s="492" t="e">
        <f>IF($AC54&gt;$AE54,$AC54-$AE54,"Pass")</f>
        <v>#REF!</v>
      </c>
      <c r="AH54" s="2"/>
      <c r="AI54" s="2"/>
      <c r="AJ54" s="2"/>
      <c r="AK54" s="2"/>
      <c r="AL54" s="503" t="s">
        <v>78</v>
      </c>
      <c r="AM54" s="504" t="e">
        <f>IF(P28&lt;=IF($B$2="mil",1,0.0254)*1000,"Pass",IF($B$2="mil",1,0.0254)*1000-P28)</f>
        <v>#REF!</v>
      </c>
      <c r="AN54" s="503" t="s">
        <v>78</v>
      </c>
      <c r="AO54" s="474" t="e">
        <f>IF($Q54&lt;=IF($B$2="mil",1,0.0254)*1000,"Pass",IF($B$2="mil",1,0.0254)*1000-$Q54)</f>
        <v>#REF!</v>
      </c>
      <c r="AQ54" s="473" t="e">
        <f>IF($R54&lt;=IF($B$2="mil",1,0.0254)*750,"Pass",IF($B$2="mil",1,0.0254)*750-$R54)</f>
        <v>#REF!</v>
      </c>
      <c r="AR54" s="473" t="e">
        <f>IF($S54&lt;=IF($B$2="mil",1,0.0254)*750,"Pass",IF($B$2="mil",1,0.0254)*750-$S54)</f>
        <v>#REF!</v>
      </c>
      <c r="AS54" s="473" t="e">
        <f t="shared" ca="1" si="10"/>
        <v>#NAME?</v>
      </c>
      <c r="AT54" s="473" t="e">
        <f t="shared" ca="1" si="10"/>
        <v>#NAME?</v>
      </c>
      <c r="AU54" s="473" t="e">
        <f>IF(AND(V54&gt;=IF($B$2="mil",1,0.0254)*500, $V54&lt;=IF($B$2="mil",1,0.0254)*6500),"Pass",IF($B$2="mil",1,0.0254)*6500-$V54)</f>
        <v>#REF!</v>
      </c>
      <c r="AV54" s="504" t="e">
        <f>IF(AND($W54&gt;=IF($B$2="mil",1,0.0254)*500, $W54&lt;=IF($B$2="mil",1,0.0254)*7000),"Pass",IF($B$2="mil",1,0.0254)*7000-$W54)</f>
        <v>#REF!</v>
      </c>
      <c r="AW54" s="473" t="e">
        <f>IF(AND($AB54&gt;=IF($B$2="mil",1,0.0254)*500, $AB54&lt;=IF($B$2="mil",1,0.0254)*6500),"Pass",IF($B$2="mil",1,0.0254)*6500-$AB54)</f>
        <v>#REF!</v>
      </c>
      <c r="AX54" s="474" t="e">
        <f>IF(AND($AC54&gt;=IF($B$2="mil",1,0.0254)*500, $AC54&lt;=IF($B$2="mil",1,0.0254)*7000),"Pass",IF($B$2="mil",1,0.0254)*7000-$AC54)</f>
        <v>#REF!</v>
      </c>
      <c r="AY54" s="4" t="e">
        <f t="shared" ca="1" si="9"/>
        <v>#REF!</v>
      </c>
      <c r="AZ54" s="2"/>
    </row>
    <row r="55" spans="5:52" x14ac:dyDescent="0.2">
      <c r="P55" s="192" t="s">
        <v>494</v>
      </c>
      <c r="Q55" s="123" t="e">
        <f>"Trace L7-4 ["&amp;$B$2&amp;"]"</f>
        <v>#REF!</v>
      </c>
      <c r="R55" s="123" t="e">
        <f>"Trace L8-7 to U4 ["&amp;$B$2&amp;"]"</f>
        <v>#REF!</v>
      </c>
      <c r="S55" s="123" t="e">
        <f>"Trace L8-8 to U8 ["&amp;$B$2&amp;"]"</f>
        <v>#REF!</v>
      </c>
      <c r="T55" s="123" t="e">
        <f>"Trace L9-7 to U4 ["&amp;$B$2&amp;"]"</f>
        <v>#REF!</v>
      </c>
      <c r="U55" s="123" t="e">
        <f>"Trace L9-8 to U8 ["&amp;$B$2&amp;"]"</f>
        <v>#REF!</v>
      </c>
      <c r="V55" s="495" t="e">
        <f>"Total MB Length to U4 (L0+L1+L2+L5+L6-2+L7-4+L8-7+L9-7) ["&amp;$B$2&amp;"]"</f>
        <v>#REF!</v>
      </c>
      <c r="W55" s="495" t="e">
        <f>"Total Pad to Pin U4 (P1+LL0+L1+L2+L5+L6-2+L7-4+L8-7+L9-7) ["&amp;$B$2&amp;"]"</f>
        <v>#REF!</v>
      </c>
      <c r="X55" s="496" t="e">
        <f>"Target Min Length  to U4
["&amp;$B$2&amp;"]"</f>
        <v>#REF!</v>
      </c>
      <c r="Y55" s="497" t="e">
        <f>"Target Max Length  to U4 
["&amp;$B$2&amp;"]"</f>
        <v>#REF!</v>
      </c>
      <c r="Z55" s="498" t="e">
        <f>"Routed Too Short to U4 [" &amp;$B$2&amp;"]"</f>
        <v>#REF!</v>
      </c>
      <c r="AA55" s="496" t="e">
        <f>"Routed Too Long to U4 [" &amp;$B$2&amp;"]"</f>
        <v>#REF!</v>
      </c>
      <c r="AB55" s="495" t="e">
        <f>"Total MB Length to U8 (L0+L1+L2+L5+L6-2+L7-4+L8-8+L9-8) ["&amp;$B$2&amp;"]"</f>
        <v>#REF!</v>
      </c>
      <c r="AC55" s="495" t="e">
        <f>"Total Pad to Pin U8 (P1+L0+L1+L2+L5+L6-2+L7-4+L8-8+L9-8) ["&amp;$B$2&amp;"]"</f>
        <v>#REF!</v>
      </c>
      <c r="AD55" s="496" t="e">
        <f>"Target Min Length  to U8
["&amp;$B$2&amp;"]"</f>
        <v>#REF!</v>
      </c>
      <c r="AE55" s="497" t="e">
        <f>"Target Max Length  to U8 
["&amp;$B$2&amp;"]"</f>
        <v>#REF!</v>
      </c>
      <c r="AF55" s="498" t="e">
        <f>"Routed Too Short to U8 [" &amp;$B$2&amp;"]"</f>
        <v>#REF!</v>
      </c>
      <c r="AG55" s="496" t="e">
        <f>"Routed Too Long to U8 [" &amp;$B$2&amp;"]"</f>
        <v>#REF!</v>
      </c>
      <c r="AH55" s="2"/>
      <c r="AI55" s="2"/>
      <c r="AJ55" s="2"/>
      <c r="AK55" s="2"/>
      <c r="AL55" s="2"/>
      <c r="AM55" s="2"/>
      <c r="AN55" s="499" t="s">
        <v>494</v>
      </c>
      <c r="AO55" s="497" t="e">
        <f>"L7-4 Length Test (&lt;=" &amp; IF($B$2="mil",1,0.0254)*1000&amp;$B$2&amp;")"</f>
        <v>#REF!</v>
      </c>
      <c r="AP55" s="2"/>
      <c r="AQ55" s="500" t="e">
        <f>"L8-7 Length Test (&lt;=" &amp; IF($B$2="mil",1,0.0254)*750&amp;$B$2&amp;")"</f>
        <v>#REF!</v>
      </c>
      <c r="AR55" s="500" t="e">
        <f>"L8-8 Length Test (&lt;=" &amp; IF($B$2="mil",1,0.0254)*750&amp;$B$2&amp;")"</f>
        <v>#REF!</v>
      </c>
      <c r="AS55" s="500" t="e">
        <f>"L9-7 Length Test (&lt;=" &amp; IF($B$2="mil",1,0.0254)*200&amp;$B$2&amp;") or (L8-7+L9-7&lt;= "&amp;IF($B$2="mil",1,0.0254)*950&amp;$B$2&amp;")"</f>
        <v>#REF!</v>
      </c>
      <c r="AT55" s="500" t="e">
        <f>"L9-8 Length Test (&lt;=" &amp; IF($B$2="mil",1,0.0254)*200&amp;$B$2&amp;") or (L8-8+L9-8&lt;= "&amp;IF($B$2="mil",1,0.0254)*950&amp;$B$2&amp;")"</f>
        <v>#REF!</v>
      </c>
      <c r="AU55" s="497" t="e">
        <f>"Total Length to U4 (L0+L1+L2+L5+L6-2+L7-4+L8-7+L9-7) Test
 ("&amp;IF($B$2="mil",1,0.0254)*500&amp;"-"&amp;IF($B$2="mil",1,0.0254)*6500&amp;IF($B$2="mil","mil","mm")&amp;")"</f>
        <v>#REF!</v>
      </c>
      <c r="AV55" s="497" t="e">
        <f>"Total Length to U4 (P1+L0+L1+L2+L5+L6-2+L7-4+L8-7+L9-7) Test
 (&lt;="&amp;IF($B$2="mil",1,25.4)*7000&amp;IF($B$2="mil","mil","mm")&amp;")"</f>
        <v>#REF!</v>
      </c>
      <c r="AW55" s="497" t="e">
        <f>"Total Length to U8 (L0+L1+L2+L5+L6-2+L7-4+L8-8+L9-8) Test
 ("&amp;IF($B$2="mil",1,0.0254)*500&amp;"-"&amp;IF($B$2="mil",1,0.0254)*6500&amp;IF($B$2="mil","mil","mm")&amp;")"</f>
        <v>#REF!</v>
      </c>
      <c r="AX55" s="497" t="e">
        <f>"Total Length to U8 (P1+L0+L1+L2+L5+L6-2+L7-4+L8-8+L9-8) Test
 (&lt;="&amp;IF($B$2="mil",1,25.4)*7000&amp;IF($B$2="mil","mil","mm")&amp;")"</f>
        <v>#REF!</v>
      </c>
      <c r="AY55" s="2"/>
      <c r="AZ55" s="2"/>
    </row>
    <row r="56" spans="5:52" x14ac:dyDescent="0.2">
      <c r="P56" s="134" t="s">
        <v>258</v>
      </c>
      <c r="Q56" s="135"/>
      <c r="R56" s="135"/>
      <c r="S56" s="135"/>
      <c r="T56" s="135"/>
      <c r="U56" s="135"/>
      <c r="V56" s="135"/>
      <c r="W56" s="135"/>
      <c r="X56" s="135"/>
      <c r="Y56" s="385"/>
      <c r="Z56" s="135"/>
      <c r="AA56" s="135"/>
      <c r="AB56" s="135"/>
      <c r="AC56" s="135"/>
      <c r="AD56" s="135"/>
      <c r="AE56" s="135"/>
      <c r="AF56" s="135"/>
      <c r="AG56" s="501"/>
      <c r="AH56" s="2"/>
      <c r="AI56" s="2"/>
      <c r="AJ56" s="2"/>
      <c r="AK56" s="2"/>
      <c r="AL56" s="2"/>
      <c r="AM56" s="2"/>
      <c r="AN56" s="134" t="s">
        <v>258</v>
      </c>
      <c r="AO56" s="137"/>
      <c r="AP56" s="2"/>
      <c r="AQ56" s="135"/>
      <c r="AR56" s="135"/>
      <c r="AS56" s="135"/>
      <c r="AT56" s="135"/>
      <c r="AU56" s="135"/>
      <c r="AV56" s="137"/>
      <c r="AW56" s="135"/>
      <c r="AX56" s="137"/>
      <c r="AY56" s="2"/>
      <c r="AZ56" s="2"/>
    </row>
    <row r="57" spans="5:52" ht="15.75" x14ac:dyDescent="0.25">
      <c r="E57" s="372"/>
      <c r="P57" s="235" t="s">
        <v>262</v>
      </c>
      <c r="Q57" s="143"/>
      <c r="R57" s="143"/>
      <c r="S57" s="143"/>
      <c r="T57" s="143"/>
      <c r="U57" s="143"/>
      <c r="V57" s="143"/>
      <c r="W57" s="502" t="s">
        <v>273</v>
      </c>
      <c r="X57" s="487" t="e">
        <f>MIN('DDR2 Clocks - 4L'!$O$17:$O$18)</f>
        <v>#REF!</v>
      </c>
      <c r="Y57" s="484" t="e">
        <f>MAX('DDR2 Clocks - 4L'!$O$17:$O$18)</f>
        <v>#REF!</v>
      </c>
      <c r="Z57" s="487"/>
      <c r="AA57" s="145"/>
      <c r="AB57" s="143"/>
      <c r="AC57" s="502" t="s">
        <v>335</v>
      </c>
      <c r="AD57" s="487" t="e">
        <f>MIN('DDR2 Clocks - 4L'!$O$19:$O$20)</f>
        <v>#REF!</v>
      </c>
      <c r="AE57" s="486" t="e">
        <f>MAX('DDR2 Clocks - 4L'!$O$19:$O$20)</f>
        <v>#REF!</v>
      </c>
      <c r="AF57" s="487"/>
      <c r="AG57" s="145"/>
      <c r="AH57" s="2"/>
      <c r="AI57" s="2"/>
      <c r="AJ57" s="2"/>
      <c r="AK57" s="2"/>
      <c r="AL57" s="2"/>
      <c r="AM57" s="2"/>
      <c r="AN57" s="140" t="s">
        <v>262</v>
      </c>
      <c r="AO57" s="484"/>
      <c r="AP57" s="2"/>
      <c r="AQ57" s="483"/>
      <c r="AR57" s="483"/>
      <c r="AS57" s="483"/>
      <c r="AT57" s="483"/>
      <c r="AU57" s="483"/>
      <c r="AV57" s="484"/>
      <c r="AW57" s="483"/>
      <c r="AX57" s="484"/>
      <c r="AY57" s="2"/>
      <c r="AZ57" s="2"/>
    </row>
    <row r="58" spans="5:52" x14ac:dyDescent="0.2">
      <c r="P58" s="134" t="s">
        <v>425</v>
      </c>
      <c r="Q58" s="157"/>
      <c r="R58" s="157"/>
      <c r="S58" s="157"/>
      <c r="T58" s="157"/>
      <c r="U58" s="157"/>
      <c r="V58" s="157"/>
      <c r="W58" s="157"/>
      <c r="X58" s="155"/>
      <c r="Y58" s="514"/>
      <c r="Z58" s="476"/>
      <c r="AA58" s="155"/>
      <c r="AB58" s="157"/>
      <c r="AC58" s="155"/>
      <c r="AD58" s="155"/>
      <c r="AE58" s="476"/>
      <c r="AF58" s="476"/>
      <c r="AG58" s="478"/>
      <c r="AH58" s="2"/>
      <c r="AI58" s="2"/>
      <c r="AJ58" s="2"/>
      <c r="AK58" s="2"/>
      <c r="AL58" s="2"/>
      <c r="AM58" s="2"/>
      <c r="AN58" s="134" t="s">
        <v>425</v>
      </c>
      <c r="AO58" s="244"/>
      <c r="AP58" s="2"/>
      <c r="AQ58" s="155"/>
      <c r="AR58" s="155"/>
      <c r="AS58" s="155"/>
      <c r="AT58" s="155"/>
      <c r="AU58" s="155"/>
      <c r="AV58" s="244"/>
      <c r="AW58" s="155"/>
      <c r="AX58" s="244"/>
      <c r="AY58" s="2"/>
      <c r="AZ58" s="2"/>
    </row>
    <row r="59" spans="5:52" x14ac:dyDescent="0.2">
      <c r="P59" s="161" t="s">
        <v>73</v>
      </c>
      <c r="Q59" s="270">
        <v>565.69000000000005</v>
      </c>
      <c r="R59" s="270">
        <v>500</v>
      </c>
      <c r="S59" s="270">
        <v>500</v>
      </c>
      <c r="T59" s="364">
        <v>50</v>
      </c>
      <c r="U59" s="364">
        <v>50</v>
      </c>
      <c r="V59" s="490">
        <f>SUM($E20:$G20,$M20,$P20,$Q59:$R59,$T59)</f>
        <v>4509.7299999999996</v>
      </c>
      <c r="W59" s="479" t="e">
        <f>$V59+IF($B$2="mil",1,0.0254)*$C20</f>
        <v>#REF!</v>
      </c>
      <c r="X59" s="469" t="e">
        <f>$Y$57 + IF($B$2="mil",1,0.0254)*DDR2Specs!$E$9</f>
        <v>#REF!</v>
      </c>
      <c r="Y59" s="492" t="e">
        <f>$X$57 + IF($B$2="mil",1,0.0254)*DDR2Specs!$F$9</f>
        <v>#REF!</v>
      </c>
      <c r="Z59" s="491" t="e">
        <f>IF($W59&lt;$X59,$X59-$W59,"Pass")</f>
        <v>#REF!</v>
      </c>
      <c r="AA59" s="492" t="e">
        <f>IF($W59&gt;$Y59,$W59-$Y59,"Pass")</f>
        <v>#REF!</v>
      </c>
      <c r="AB59" s="490">
        <f>SUM($E20:$G20,$M20,$Q59,$P20,$S59,$U59)</f>
        <v>4509.7299999999996</v>
      </c>
      <c r="AC59" s="469" t="e">
        <f>$AB59+IF($B$2="mil",1,0.0254)*$C20</f>
        <v>#REF!</v>
      </c>
      <c r="AD59" s="469" t="e">
        <f>$AE$57 + IF($B$2="mil",1,0.0254)*DDR2Specs!$E$9</f>
        <v>#REF!</v>
      </c>
      <c r="AE59" s="469" t="e">
        <f>$AD$57 + IF($B$2="mil",1,0.0254)*DDR2Specs!$F$9</f>
        <v>#REF!</v>
      </c>
      <c r="AF59" s="491" t="e">
        <f>IF($AC59&lt;$AD59,$AD59-$AC59,"Pass")</f>
        <v>#REF!</v>
      </c>
      <c r="AG59" s="492" t="e">
        <f>IF($AC59&gt;$AE59,$AC59-$AE59,"Pass")</f>
        <v>#REF!</v>
      </c>
      <c r="AH59" s="2"/>
      <c r="AI59" s="2"/>
      <c r="AJ59" s="2"/>
      <c r="AK59" s="2"/>
      <c r="AL59" s="2"/>
      <c r="AM59" s="2"/>
      <c r="AN59" s="503" t="s">
        <v>73</v>
      </c>
      <c r="AO59" s="504" t="e">
        <f>IF(Q59&lt;=IF($B$2="mil",1,0.0254)*1000,"Pass",IF($B$2="mil",1,0.0254)*1000-Q59)</f>
        <v>#REF!</v>
      </c>
      <c r="AP59" s="2"/>
      <c r="AQ59" s="473" t="e">
        <f>IF($R59&lt;=IF($B$2="mil",1,0.0254)*750,"Pass",IF($B$2="mil",1,0.0254)*750-$R59)</f>
        <v>#REF!</v>
      </c>
      <c r="AR59" s="473" t="e">
        <f>IF($S59&lt;=IF($B$2="mil",1,0.0254)*750,"Pass",IF($B$2="mil",1,0.0254)*750-$S59)</f>
        <v>#REF!</v>
      </c>
      <c r="AS59" s="473" t="e">
        <f t="shared" ref="AS59:AT61" ca="1" si="11">CheckLength2(IF($B$2="mil",1,0.0254)*950,R59,T59,0)</f>
        <v>#NAME?</v>
      </c>
      <c r="AT59" s="473" t="e">
        <f t="shared" ca="1" si="11"/>
        <v>#NAME?</v>
      </c>
      <c r="AU59" s="473" t="e">
        <f>IF(AND(V59&gt;=IF($B$2="mil",1,0.0254)*500, $V59&lt;=IF($B$2="mil",1,0.0254)*6500),"Pass",IF($B$2="mil",1,0.0254)*6500-$V59)</f>
        <v>#REF!</v>
      </c>
      <c r="AV59" s="504" t="e">
        <f>IF(AND($W59&gt;=IF($B$2="mil",1,0.0254)*500, $W59&lt;=IF($B$2="mil",1,0.0254)*7000),"Pass",IF($B$2="mil",1,0.0254)*7000-$W59)</f>
        <v>#REF!</v>
      </c>
      <c r="AW59" s="473" t="e">
        <f>IF(AND($AB59&gt;=IF($B$2="mil",1,0.0254)*500, $AB59&lt;=IF($B$2="mil",1,0.0254)*6500),"Pass",IF($B$2="mil",1,0.0254)*6500-$AB59)</f>
        <v>#REF!</v>
      </c>
      <c r="AX59" s="474" t="e">
        <f>IF(AND($AC59&gt;=IF($B$2="mil",1,0.0254)*500, $AC59&lt;=IF($B$2="mil",1,0.0254)*7000),"Pass",IF($B$2="mil",1,0.0254)*7000-$AC59)</f>
        <v>#REF!</v>
      </c>
      <c r="AY59" s="4" t="e">
        <f ca="1">IF(AND(Z59="Pass",AA59="Pass",AF59="Pass",AG59="Pass",AO59="Pass",AQ59="Pass",AR59="Pass",AS59="Pass",AT59="Pass",AU59="Pass",AV59="Pass",AW59="Pass",AX59="Pass"),"Pass","Fail")</f>
        <v>#REF!</v>
      </c>
      <c r="AZ59" s="4" t="e">
        <f ca="1">IF(AND(AY59="Pass",AY60="Pass",AY61="Pass"),"Pass","Fail")</f>
        <v>#REF!</v>
      </c>
    </row>
    <row r="60" spans="5:52" x14ac:dyDescent="0.2">
      <c r="P60" s="161" t="s">
        <v>75</v>
      </c>
      <c r="Q60" s="270">
        <v>587.88</v>
      </c>
      <c r="R60" s="270">
        <v>600</v>
      </c>
      <c r="S60" s="270">
        <v>600</v>
      </c>
      <c r="T60" s="364">
        <v>50</v>
      </c>
      <c r="U60" s="364">
        <v>50</v>
      </c>
      <c r="V60" s="490">
        <f>SUM($E21:$G21,$M21,$P21,$Q60:$R60,$T60)</f>
        <v>4469.49</v>
      </c>
      <c r="W60" s="479" t="e">
        <f>$V60+IF($B$2="mil",1,0.0254)*$C21</f>
        <v>#REF!</v>
      </c>
      <c r="X60" s="469" t="e">
        <f>$Y$57 + IF($B$2="mil",1,0.0254)*DDR2Specs!$E$9</f>
        <v>#REF!</v>
      </c>
      <c r="Y60" s="492" t="e">
        <f>$X$57 + IF($B$2="mil",1,0.0254)*DDR2Specs!$F$9</f>
        <v>#REF!</v>
      </c>
      <c r="Z60" s="491" t="e">
        <f>IF($W60&lt;$X60,$X60-$W60,"Pass")</f>
        <v>#REF!</v>
      </c>
      <c r="AA60" s="492" t="e">
        <f>IF($W60&gt;$Y60,$W60-$Y60,"Pass")</f>
        <v>#REF!</v>
      </c>
      <c r="AB60" s="490">
        <f>SUM($E21:$G21,$M21,$Q60,$P21,$S60,$U60)</f>
        <v>4469.49</v>
      </c>
      <c r="AC60" s="469" t="e">
        <f>$AB60+IF($B$2="mil",1,0.0254)*$C21</f>
        <v>#REF!</v>
      </c>
      <c r="AD60" s="469" t="e">
        <f>$AE$57 + IF($B$2="mil",1,0.0254)*DDR2Specs!$E$9</f>
        <v>#REF!</v>
      </c>
      <c r="AE60" s="469" t="e">
        <f>$AD$57 + IF($B$2="mil",1,0.0254)*DDR2Specs!$F$9</f>
        <v>#REF!</v>
      </c>
      <c r="AF60" s="491" t="e">
        <f>IF($AC60&lt;$AD60,$AD60-$AC60,"Pass")</f>
        <v>#REF!</v>
      </c>
      <c r="AG60" s="492" t="e">
        <f>IF($AC60&gt;$AE60,$AC60-$AE60,"Pass")</f>
        <v>#REF!</v>
      </c>
      <c r="AH60" s="2"/>
      <c r="AI60" s="2"/>
      <c r="AJ60" s="2"/>
      <c r="AK60" s="2"/>
      <c r="AL60" s="2"/>
      <c r="AM60" s="2"/>
      <c r="AN60" s="503" t="s">
        <v>75</v>
      </c>
      <c r="AO60" s="504" t="e">
        <f>IF(Q60&lt;=IF($B$2="mil",1,0.0254)*1000,"Pass",IF($B$2="mil",1,0.0254)*1000-Q60)</f>
        <v>#REF!</v>
      </c>
      <c r="AP60" s="2"/>
      <c r="AQ60" s="473" t="e">
        <f>IF($R60&lt;=IF($B$2="mil",1,0.0254)*750,"Pass",IF($B$2="mil",1,0.0254)*750-$R60)</f>
        <v>#REF!</v>
      </c>
      <c r="AR60" s="473" t="e">
        <f>IF($S60&lt;=IF($B$2="mil",1,0.0254)*750,"Pass",IF($B$2="mil",1,0.0254)*750-$S60)</f>
        <v>#REF!</v>
      </c>
      <c r="AS60" s="473" t="e">
        <f t="shared" ca="1" si="11"/>
        <v>#NAME?</v>
      </c>
      <c r="AT60" s="473" t="e">
        <f t="shared" ca="1" si="11"/>
        <v>#NAME?</v>
      </c>
      <c r="AU60" s="473" t="e">
        <f>IF(AND(V60&gt;=IF($B$2="mil",1,0.0254)*500, $V60&lt;=IF($B$2="mil",1,0.0254)*6500),"Pass",IF($B$2="mil",1,0.0254)*6500-$V60)</f>
        <v>#REF!</v>
      </c>
      <c r="AV60" s="504" t="e">
        <f>IF(AND($W60&gt;=IF($B$2="mil",1,0.0254)*500, $W60&lt;=IF($B$2="mil",1,0.0254)*7000),"Pass",IF($B$2="mil",1,0.0254)*7000-$W60)</f>
        <v>#REF!</v>
      </c>
      <c r="AW60" s="473" t="e">
        <f>IF(AND($AB60&gt;=IF($B$2="mil",1,0.0254)*500, $AB60&lt;=IF($B$2="mil",1,0.0254)*6500),"Pass",IF($B$2="mil",1,0.0254)*6500-$AB60)</f>
        <v>#REF!</v>
      </c>
      <c r="AX60" s="474" t="e">
        <f>IF(AND($AC60&gt;=IF($B$2="mil",1,0.0254)*500, $AC60&lt;=IF($B$2="mil",1,0.0254)*7000),"Pass",IF($B$2="mil",1,0.0254)*7000-$AC60)</f>
        <v>#REF!</v>
      </c>
      <c r="AY60" s="4" t="e">
        <f t="shared" ref="AY60:AY67" ca="1" si="12">IF(AND(Z60="Pass",AA60="Pass",AF60="Pass",AG60="Pass",AO60="Pass",AQ60="Pass",AR60="Pass",AS60="Pass",AT60="Pass",AU60="Pass",AV60="Pass",AW60="Pass",AX60="Pass"),"Pass","Fail")</f>
        <v>#REF!</v>
      </c>
    </row>
    <row r="61" spans="5:52" x14ac:dyDescent="0.2">
      <c r="P61" s="161" t="s">
        <v>77</v>
      </c>
      <c r="Q61" s="270">
        <v>565.69000000000005</v>
      </c>
      <c r="R61" s="270">
        <v>700</v>
      </c>
      <c r="S61" s="270">
        <v>700</v>
      </c>
      <c r="T61" s="364">
        <v>50</v>
      </c>
      <c r="U61" s="364">
        <v>50</v>
      </c>
      <c r="V61" s="490">
        <f>SUM($E22:$G22,$M22,$P22,$Q61:$R61,$T61)</f>
        <v>4452.58</v>
      </c>
      <c r="W61" s="479" t="e">
        <f>$V61+IF($B$2="mil",1,0.0254)*$C22</f>
        <v>#REF!</v>
      </c>
      <c r="X61" s="469" t="e">
        <f>$Y$57 + IF($B$2="mil",1,0.0254)*DDR2Specs!$E$9</f>
        <v>#REF!</v>
      </c>
      <c r="Y61" s="492" t="e">
        <f>$X$57 + IF($B$2="mil",1,0.0254)*DDR2Specs!$F$9</f>
        <v>#REF!</v>
      </c>
      <c r="Z61" s="491" t="e">
        <f>IF($W61&lt;$X61,$X61-$W61,"Pass")</f>
        <v>#REF!</v>
      </c>
      <c r="AA61" s="492" t="e">
        <f>IF($W61&gt;$Y61,$W61-$Y61,"Pass")</f>
        <v>#REF!</v>
      </c>
      <c r="AB61" s="490">
        <f>SUM($E22:$G22,$M22,$Q61,$P22,$S61,$U61)</f>
        <v>4452.58</v>
      </c>
      <c r="AC61" s="469" t="e">
        <f>$AB61+IF($B$2="mil",1,0.0254)*$C22</f>
        <v>#REF!</v>
      </c>
      <c r="AD61" s="469" t="e">
        <f>$AE$57 + IF($B$2="mil",1,0.0254)*DDR2Specs!$E$9</f>
        <v>#REF!</v>
      </c>
      <c r="AE61" s="469" t="e">
        <f>$AD$57 + IF($B$2="mil",1,0.0254)*DDR2Specs!$F$9</f>
        <v>#REF!</v>
      </c>
      <c r="AF61" s="491" t="e">
        <f>IF($AC61&lt;$AD61,$AD61-$AC61,"Pass")</f>
        <v>#REF!</v>
      </c>
      <c r="AG61" s="492" t="e">
        <f>IF($AC61&gt;$AE61,$AC61-$AE61,"Pass")</f>
        <v>#REF!</v>
      </c>
      <c r="AH61" s="2"/>
      <c r="AI61" s="2"/>
      <c r="AJ61" s="2"/>
      <c r="AK61" s="2"/>
      <c r="AL61" s="2"/>
      <c r="AM61" s="2"/>
      <c r="AN61" s="503" t="s">
        <v>77</v>
      </c>
      <c r="AO61" s="504" t="e">
        <f>IF(Q61&lt;=IF($B$2="mil",1,0.0254)*1000,"Pass",IF($B$2="mil",1,0.0254)*1000-Q61)</f>
        <v>#REF!</v>
      </c>
      <c r="AP61" s="2"/>
      <c r="AQ61" s="473" t="e">
        <f>IF($R61&lt;=IF($B$2="mil",1,0.0254)*750,"Pass",IF($B$2="mil",1,0.0254)*750-$R61)</f>
        <v>#REF!</v>
      </c>
      <c r="AR61" s="473" t="e">
        <f>IF($S61&lt;=IF($B$2="mil",1,0.0254)*750,"Pass",IF($B$2="mil",1,0.0254)*750-$S61)</f>
        <v>#REF!</v>
      </c>
      <c r="AS61" s="473" t="e">
        <f t="shared" ca="1" si="11"/>
        <v>#NAME?</v>
      </c>
      <c r="AT61" s="473" t="e">
        <f t="shared" ca="1" si="11"/>
        <v>#NAME?</v>
      </c>
      <c r="AU61" s="473" t="e">
        <f>IF(AND(V61&gt;=IF($B$2="mil",1,0.0254)*500, $V61&lt;=IF($B$2="mil",1,0.0254)*6500),"Pass",IF($B$2="mil",1,0.0254)*6500-$V61)</f>
        <v>#REF!</v>
      </c>
      <c r="AV61" s="504" t="e">
        <f>IF(AND($W61&gt;=IF($B$2="mil",1,0.0254)*500, $W61&lt;=IF($B$2="mil",1,0.0254)*7000),"Pass",IF($B$2="mil",1,0.0254)*7000-$W61)</f>
        <v>#REF!</v>
      </c>
      <c r="AW61" s="473" t="e">
        <f>IF(AND($AB61&gt;=IF($B$2="mil",1,0.0254)*500, $AB61&lt;=IF($B$2="mil",1,0.0254)*6500),"Pass",IF($B$2="mil",1,0.0254)*6500-$AB61)</f>
        <v>#REF!</v>
      </c>
      <c r="AX61" s="474" t="e">
        <f>IF(AND($AC61&gt;=IF($B$2="mil",1,0.0254)*500, $AC61&lt;=IF($B$2="mil",1,0.0254)*7000),"Pass",IF($B$2="mil",1,0.0254)*7000-$AC61)</f>
        <v>#REF!</v>
      </c>
      <c r="AY61" s="4" t="e">
        <f t="shared" ca="1" si="12"/>
        <v>#REF!</v>
      </c>
      <c r="AZ61" s="2"/>
    </row>
    <row r="62" spans="5:52" x14ac:dyDescent="0.2">
      <c r="O62" s="2"/>
      <c r="P62" s="192" t="s">
        <v>494</v>
      </c>
      <c r="Q62" s="123" t="e">
        <f>"Trace L7-4 ["&amp;$B$2&amp;"]"</f>
        <v>#REF!</v>
      </c>
      <c r="R62" s="123" t="e">
        <f>"Trace L8-7 to U4 ["&amp;$B$2&amp;"]"</f>
        <v>#REF!</v>
      </c>
      <c r="S62" s="123" t="e">
        <f>"Trace L8-8 to U8 ["&amp;$B$2&amp;"]"</f>
        <v>#REF!</v>
      </c>
      <c r="T62" s="123" t="e">
        <f>"Trace L9-7 to U4 ["&amp;$B$2&amp;"]"</f>
        <v>#REF!</v>
      </c>
      <c r="U62" s="123" t="e">
        <f>"Trace L9-8 to U8 ["&amp;$B$2&amp;"]"</f>
        <v>#REF!</v>
      </c>
      <c r="V62" s="495" t="e">
        <f>"Total MB Length to U4 (L0+L1+L2+L5+L6-2+L7-4+L8-7+L9-7) ["&amp;$B$2&amp;"]"</f>
        <v>#REF!</v>
      </c>
      <c r="W62" s="495" t="e">
        <f>"Total Pad to Pin U4 (P1+LL0+L1+L2+L5+L6-2+L7-4+L8-7+L9-7) ["&amp;$B$2&amp;"]"</f>
        <v>#REF!</v>
      </c>
      <c r="X62" s="496" t="e">
        <f>"Target Min Length  to U4
["&amp;$B$2&amp;"]"</f>
        <v>#REF!</v>
      </c>
      <c r="Y62" s="497" t="e">
        <f>"Target Max Length  to U4 
["&amp;$B$2&amp;"]"</f>
        <v>#REF!</v>
      </c>
      <c r="Z62" s="498" t="e">
        <f>"Routed Too Short to U4 [" &amp;$B$2&amp;"]"</f>
        <v>#REF!</v>
      </c>
      <c r="AA62" s="496" t="e">
        <f>"Routed Too Long to U4 [" &amp;$B$2&amp;"]"</f>
        <v>#REF!</v>
      </c>
      <c r="AB62" s="495" t="e">
        <f>"Total MB Length to U8 (L0+L1+L2+L5+L6-2+L7-4+L8-8+L9-8) ["&amp;$B$2&amp;"]"</f>
        <v>#REF!</v>
      </c>
      <c r="AC62" s="495" t="e">
        <f>"Total Pad to Pin U8 (P1+L0+L1+L2+L5+L6-2+L7-4+L8-8+L9-8) ["&amp;$B$2&amp;"]"</f>
        <v>#REF!</v>
      </c>
      <c r="AD62" s="496" t="e">
        <f>"Target Min Length  to U8
["&amp;$B$2&amp;"]"</f>
        <v>#REF!</v>
      </c>
      <c r="AE62" s="497" t="e">
        <f>"Target Max Length  to U8 
["&amp;$B$2&amp;"]"</f>
        <v>#REF!</v>
      </c>
      <c r="AF62" s="498" t="e">
        <f>"Routed Too Short to U8 [" &amp;$B$2&amp;"]"</f>
        <v>#REF!</v>
      </c>
      <c r="AG62" s="496" t="e">
        <f>"Routed Too Long to U8 [" &amp;$B$2&amp;"]"</f>
        <v>#REF!</v>
      </c>
      <c r="AH62" s="2"/>
      <c r="AI62" s="2"/>
      <c r="AJ62" s="2"/>
      <c r="AK62" s="2"/>
      <c r="AL62" s="2"/>
      <c r="AM62" s="2"/>
      <c r="AN62" s="499" t="s">
        <v>494</v>
      </c>
      <c r="AO62" s="497" t="e">
        <f>"L7-2 Length Test (&lt;=" &amp; IF($B$2="mil",1,0.0254)*1000&amp;$B$2&amp;")"</f>
        <v>#REF!</v>
      </c>
      <c r="AQ62" s="500" t="e">
        <f>"L8-3 Length Test (&lt;=" &amp; IF($B$2="mil",1,0.0254)*750&amp;$B$2&amp;")"</f>
        <v>#REF!</v>
      </c>
      <c r="AR62" s="500" t="e">
        <f>"L8-4 Length Test (&lt;=" &amp; IF($B$2="mil",1,0.0254)*750&amp;$B$2&amp;")"</f>
        <v>#REF!</v>
      </c>
      <c r="AS62" s="500" t="e">
        <f>"L9-3 Length Test (&lt;=" &amp; IF($B$2="mil",1,0.0254)*200&amp;$B$2&amp;") or (L8-3+L9-3&lt;= "&amp;IF($B$2="mil",1,0.0254)*950&amp;$B$2&amp;")"</f>
        <v>#REF!</v>
      </c>
      <c r="AT62" s="500" t="e">
        <f>"L9-4 Length Test (&lt;=" &amp; IF($B$2="mil",1,0.0254)*200&amp;$B$2&amp;") or (L8-4+L9-4&lt;= "&amp;IF($B$2="mil",1,0.0254)*950&amp;$B$2&amp;")"</f>
        <v>#REF!</v>
      </c>
      <c r="AU62" s="497" t="e">
        <f>"Total Length to U2 (L0+L1+L2+L5+L6-1+L7-2+L8-3+L9-3)Test
 ("&amp;IF($B$2="mil",1,0.0254)*500&amp;"-"&amp;IF($B$2="mil",1,0.0254)*6500&amp;IF($B$2="mil","mil","mm")&amp;")"</f>
        <v>#REF!</v>
      </c>
      <c r="AV62" s="497" t="e">
        <f>"Total Length to U2 (P1+L0+L1+L2+L5+L6-1+L7-2+L8-3+L9-3) Test
 (&lt;="&amp;IF($B$2="mil",1,25.4)*7000&amp;IF($B$2="mil","mil","mm")&amp;")"</f>
        <v>#REF!</v>
      </c>
      <c r="AW62" s="497" t="e">
        <f>"Total Length to U6 (L0+L1+L2+L5+L6-1+L7-2+L8-4+L9-4)Test
 ("&amp;IF($B$2="mil",1,0.0254)*500&amp;"-"&amp;IF($B$2="mil",1,0.0254)*6500&amp;IF($B$2="mil","mil","mm")&amp;")"</f>
        <v>#REF!</v>
      </c>
      <c r="AX62" s="497" t="e">
        <f>"Total Length to U6 (P1+L0+L1+L2+L5+L6-1+L7-2+L8-4+L9-4) Test
 (&lt;="&amp;IF($B$2="mil",1,25.4)*7000&amp;IF($B$2="mil","mil","mm")&amp;")"</f>
        <v>#REF!</v>
      </c>
      <c r="AY62" s="2"/>
      <c r="AZ62" s="2"/>
    </row>
    <row r="63" spans="5:52" x14ac:dyDescent="0.2">
      <c r="O63" s="2"/>
      <c r="P63" s="146" t="s">
        <v>262</v>
      </c>
      <c r="Q63" s="143"/>
      <c r="R63" s="143"/>
      <c r="S63" s="143"/>
      <c r="T63" s="143"/>
      <c r="U63" s="143"/>
      <c r="V63" s="143"/>
      <c r="W63" s="502" t="s">
        <v>273</v>
      </c>
      <c r="X63" s="486" t="e">
        <f>MIN('DDR2 Clocks - 4L'!$O$17:$O$18)</f>
        <v>#REF!</v>
      </c>
      <c r="Y63" s="484" t="e">
        <f>MAX('DDR2 Clocks - 4L'!$O$17:$O$18)</f>
        <v>#REF!</v>
      </c>
      <c r="Z63" s="486"/>
      <c r="AA63" s="486"/>
      <c r="AB63" s="143"/>
      <c r="AC63" s="502" t="s">
        <v>335</v>
      </c>
      <c r="AD63" s="529" t="e">
        <f>MIN('DDR2 Clocks - 4L'!$O$19:$O$20)</f>
        <v>#REF!</v>
      </c>
      <c r="AE63" s="486" t="e">
        <f>MAX('DDR2 Clocks - 4L'!$O$19:$O$20)</f>
        <v>#REF!</v>
      </c>
      <c r="AF63" s="486"/>
      <c r="AG63" s="486"/>
      <c r="AH63" s="2"/>
      <c r="AI63" s="2"/>
      <c r="AJ63" s="2"/>
      <c r="AK63" s="2"/>
      <c r="AL63" s="2"/>
      <c r="AM63" s="2"/>
      <c r="AN63" s="143" t="s">
        <v>262</v>
      </c>
      <c r="AO63" s="484"/>
      <c r="AQ63" s="483"/>
      <c r="AR63" s="483"/>
      <c r="AS63" s="483"/>
      <c r="AT63" s="483"/>
      <c r="AU63" s="483"/>
      <c r="AV63" s="483"/>
      <c r="AW63" s="483"/>
      <c r="AX63" s="484"/>
      <c r="AY63" s="2"/>
      <c r="AZ63" s="2"/>
    </row>
    <row r="64" spans="5:52" x14ac:dyDescent="0.2">
      <c r="P64" s="134" t="s">
        <v>426</v>
      </c>
      <c r="Q64" s="298"/>
      <c r="R64" s="298"/>
      <c r="S64" s="298"/>
      <c r="T64" s="388"/>
      <c r="U64" s="388"/>
      <c r="V64" s="182"/>
      <c r="W64" s="182"/>
      <c r="X64" s="182"/>
      <c r="Y64" s="515"/>
      <c r="Z64" s="385"/>
      <c r="AA64" s="385"/>
      <c r="AB64" s="182"/>
      <c r="AC64" s="182"/>
      <c r="AD64" s="182"/>
      <c r="AE64" s="182"/>
      <c r="AF64" s="385"/>
      <c r="AG64" s="494"/>
      <c r="AH64" s="2"/>
      <c r="AI64" s="2"/>
      <c r="AJ64" s="2"/>
      <c r="AK64" s="2"/>
      <c r="AL64" s="2"/>
      <c r="AM64" s="2"/>
      <c r="AN64" s="134" t="s">
        <v>426</v>
      </c>
      <c r="AO64" s="506"/>
      <c r="AP64" s="2"/>
      <c r="AQ64" s="385"/>
      <c r="AR64" s="385"/>
      <c r="AS64" s="385"/>
      <c r="AT64" s="385"/>
      <c r="AU64" s="385"/>
      <c r="AV64" s="506"/>
      <c r="AW64" s="385"/>
      <c r="AX64" s="494"/>
      <c r="AY64" s="2"/>
      <c r="AZ64" s="2"/>
    </row>
    <row r="65" spans="16:52" x14ac:dyDescent="0.2">
      <c r="P65" s="161" t="s">
        <v>74</v>
      </c>
      <c r="Q65" s="270">
        <v>564.66</v>
      </c>
      <c r="R65" s="297">
        <v>600</v>
      </c>
      <c r="S65" s="297">
        <v>500</v>
      </c>
      <c r="T65" s="364">
        <v>50</v>
      </c>
      <c r="U65" s="364">
        <v>50</v>
      </c>
      <c r="V65" s="490">
        <f>SUM($E26:$G26,$M26,$P26,$Q65:$R65,$T65)</f>
        <v>4435.28</v>
      </c>
      <c r="W65" s="469" t="e">
        <f>$V65+IF($B$2="mil",1,0.0254)*$C26</f>
        <v>#REF!</v>
      </c>
      <c r="X65" s="469" t="e">
        <f>$Y$57 + IF($B$2="mil",1,0.0254)*DDR2Specs!$E$9</f>
        <v>#REF!</v>
      </c>
      <c r="Y65" s="492" t="e">
        <f>$X$57 + IF($B$2="mil",1,0.0254)*DDR2Specs!$F$9</f>
        <v>#REF!</v>
      </c>
      <c r="Z65" s="491" t="e">
        <f>IF($W65&lt;$X65,$X65-$W65,"Pass")</f>
        <v>#REF!</v>
      </c>
      <c r="AA65" s="492" t="e">
        <f>IF($W65&gt;$Y65,$W65-$Y65,"Pass")</f>
        <v>#REF!</v>
      </c>
      <c r="AB65" s="490">
        <f>SUM($E26:$G26,$M26,$Q65,$P26,$S65,$U65)</f>
        <v>4335.28</v>
      </c>
      <c r="AC65" s="469" t="e">
        <f>$AB65+IF($B$2="mil",1,0.0254)*$C26</f>
        <v>#REF!</v>
      </c>
      <c r="AD65" s="469" t="e">
        <f>$AE$57 + IF($B$2="mil",1,0.0254)*DDR2Specs!$E$9</f>
        <v>#REF!</v>
      </c>
      <c r="AE65" s="469" t="e">
        <f>$AD$57 + IF($B$2="mil",1,0.0254)*DDR2Specs!$F$9</f>
        <v>#REF!</v>
      </c>
      <c r="AF65" s="491" t="e">
        <f>IF($AC65&lt;$AD65,$AD65-$AC65,"Pass")</f>
        <v>#REF!</v>
      </c>
      <c r="AG65" s="492" t="e">
        <f>IF($AC65&gt;$AE65,$AC65-$AE65,"Pass")</f>
        <v>#REF!</v>
      </c>
      <c r="AH65" s="2"/>
      <c r="AI65" s="2"/>
      <c r="AJ65" s="2"/>
      <c r="AK65" s="2"/>
      <c r="AL65" s="2"/>
      <c r="AM65" s="2"/>
      <c r="AN65" s="503" t="s">
        <v>74</v>
      </c>
      <c r="AO65" s="504" t="e">
        <f>IF(Q65&lt;=IF($B$2="mil",1,0.0254)*1000,"Pass",IF($B$2="mil",1,0.0254)*1000-Q65)</f>
        <v>#REF!</v>
      </c>
      <c r="AP65" s="2"/>
      <c r="AQ65" s="473" t="e">
        <f>IF($R65&lt;=IF($B$2="mil",1,0.0254)*750,"Pass",IF($B$2="mil",1,0.0254)*750-$R65)</f>
        <v>#REF!</v>
      </c>
      <c r="AR65" s="473" t="e">
        <f>IF($S65&lt;=IF($B$2="mil",1,0.0254)*750,"Pass",IF($B$2="mil",1,0.0254)*750-$S65)</f>
        <v>#REF!</v>
      </c>
      <c r="AS65" s="473" t="e">
        <f t="shared" ref="AS65:AT67" ca="1" si="13">CheckLength2(IF($B$2="mil",1,0.0254)*950,R65,T65,0)</f>
        <v>#NAME?</v>
      </c>
      <c r="AT65" s="473" t="e">
        <f t="shared" ca="1" si="13"/>
        <v>#NAME?</v>
      </c>
      <c r="AU65" s="473" t="e">
        <f>IF(AND(V65&gt;=IF($B$2="mil",1,0.0254)*500, $V65&lt;=IF($B$2="mil",1,0.0254)*6500),"Pass",IF($B$2="mil",1,0.0254)*6500-$V65)</f>
        <v>#REF!</v>
      </c>
      <c r="AV65" s="504" t="e">
        <f>IF(AND($W65&gt;=IF($B$2="mil",1,0.0254)*500, $W65&lt;=IF($B$2="mil",1,0.0254)*7000),"Pass",IF($B$2="mil",1,0.0254)*7000-$W65)</f>
        <v>#REF!</v>
      </c>
      <c r="AW65" s="473" t="e">
        <f>IF(AND($AB65&gt;=IF($B$2="mil",1,0.0254)*500, $AB65&lt;=IF($B$2="mil",1,0.0254)*6500),"Pass",IF($B$2="mil",1,0.0254)*6500-$AB65)</f>
        <v>#REF!</v>
      </c>
      <c r="AX65" s="474" t="e">
        <f>IF(AND($AC65&gt;=IF($B$2="mil",1,0.0254)*500, $AC65&lt;=IF($B$2="mil",1,0.0254)*7000),"Pass",IF($B$2="mil",1,0.0254)*7000-$AC65)</f>
        <v>#REF!</v>
      </c>
      <c r="AY65" s="4" t="e">
        <f t="shared" ca="1" si="12"/>
        <v>#REF!</v>
      </c>
      <c r="AZ65" s="4" t="e">
        <f ca="1">IF(AND(AY65="Pass",AY66="Pass",AY67="Pass"),"Pass","Fail")</f>
        <v>#REF!</v>
      </c>
    </row>
    <row r="66" spans="16:52" x14ac:dyDescent="0.2">
      <c r="P66" s="161" t="s">
        <v>76</v>
      </c>
      <c r="Q66" s="270">
        <v>578.77</v>
      </c>
      <c r="R66" s="297">
        <v>600</v>
      </c>
      <c r="S66" s="297">
        <v>500</v>
      </c>
      <c r="T66" s="364">
        <v>50</v>
      </c>
      <c r="U66" s="364">
        <v>50</v>
      </c>
      <c r="V66" s="490">
        <f>SUM($E27:$G27,$M27,$P27,$Q66:$R66,$T66)</f>
        <v>4594.7999999999993</v>
      </c>
      <c r="W66" s="469" t="e">
        <f>$V66+IF($B$2="mil",1,0.0254)*$C27</f>
        <v>#REF!</v>
      </c>
      <c r="X66" s="469" t="e">
        <f>$Y$57 + IF($B$2="mil",1,0.0254)*DDR2Specs!$E$9</f>
        <v>#REF!</v>
      </c>
      <c r="Y66" s="492" t="e">
        <f>$X$57 + IF($B$2="mil",1,0.0254)*DDR2Specs!$F$9</f>
        <v>#REF!</v>
      </c>
      <c r="Z66" s="491" t="e">
        <f>IF($W66&lt;$X66,$X66-$W66,"Pass")</f>
        <v>#REF!</v>
      </c>
      <c r="AA66" s="492" t="e">
        <f>IF($W66&gt;$Y66,$W66-$Y66,"Pass")</f>
        <v>#REF!</v>
      </c>
      <c r="AB66" s="490">
        <f>SUM($E27:$G27,$M27,$Q66,$P27,$S66,$U66)</f>
        <v>4494.7999999999993</v>
      </c>
      <c r="AC66" s="469" t="e">
        <f>$AB66+IF($B$2="mil",1,0.0254)*$C27</f>
        <v>#REF!</v>
      </c>
      <c r="AD66" s="469" t="e">
        <f>$AE$57 + IF($B$2="mil",1,0.0254)*DDR2Specs!$E$9</f>
        <v>#REF!</v>
      </c>
      <c r="AE66" s="469" t="e">
        <f>$AD$57 + IF($B$2="mil",1,0.0254)*DDR2Specs!$F$9</f>
        <v>#REF!</v>
      </c>
      <c r="AF66" s="491" t="e">
        <f>IF($AC66&lt;$AD66,$AD66-$AC66,"Pass")</f>
        <v>#REF!</v>
      </c>
      <c r="AG66" s="492" t="e">
        <f>IF($AC66&gt;$AE66,$AC66-$AE66,"Pass")</f>
        <v>#REF!</v>
      </c>
      <c r="AH66" s="2"/>
      <c r="AI66" s="2"/>
      <c r="AJ66" s="2"/>
      <c r="AK66" s="2"/>
      <c r="AL66" s="2"/>
      <c r="AM66" s="2"/>
      <c r="AN66" s="503" t="s">
        <v>76</v>
      </c>
      <c r="AO66" s="504" t="e">
        <f>IF(Q66&lt;=IF($B$2="mil",1,0.0254)*1000,"Pass",IF($B$2="mil",1,0.0254)*1000-Q66)</f>
        <v>#REF!</v>
      </c>
      <c r="AP66" s="2"/>
      <c r="AQ66" s="473" t="e">
        <f>IF($R66&lt;=IF($B$2="mil",1,0.0254)*750,"Pass",IF($B$2="mil",1,0.0254)*750-$R66)</f>
        <v>#REF!</v>
      </c>
      <c r="AR66" s="473" t="e">
        <f>IF($S66&lt;=IF($B$2="mil",1,0.0254)*750,"Pass",IF($B$2="mil",1,0.0254)*750-$S66)</f>
        <v>#REF!</v>
      </c>
      <c r="AS66" s="473" t="e">
        <f t="shared" ca="1" si="13"/>
        <v>#NAME?</v>
      </c>
      <c r="AT66" s="473" t="e">
        <f t="shared" ca="1" si="13"/>
        <v>#NAME?</v>
      </c>
      <c r="AU66" s="473" t="e">
        <f>IF(AND(V66&gt;=IF($B$2="mil",1,0.0254)*500, $V66&lt;=IF($B$2="mil",1,0.0254)*6500),"Pass",IF($B$2="mil",1,0.0254)*6500-$V66)</f>
        <v>#REF!</v>
      </c>
      <c r="AV66" s="504" t="e">
        <f>IF(AND($W66&gt;=IF($B$2="mil",1,0.0254)*500, $W66&lt;=IF($B$2="mil",1,0.0254)*7000),"Pass",IF($B$2="mil",1,0.0254)*7000-$W66)</f>
        <v>#REF!</v>
      </c>
      <c r="AW66" s="473" t="e">
        <f>IF(AND($AB66&gt;=IF($B$2="mil",1,0.0254)*500, $AB66&lt;=IF($B$2="mil",1,0.0254)*6500),"Pass",IF($B$2="mil",1,0.0254)*6500-$AB66)</f>
        <v>#REF!</v>
      </c>
      <c r="AX66" s="474" t="e">
        <f>IF(AND($AC66&gt;=IF($B$2="mil",1,0.0254)*500, $AC66&lt;=IF($B$2="mil",1,0.0254)*7000),"Pass",IF($B$2="mil",1,0.0254)*7000-$AC66)</f>
        <v>#REF!</v>
      </c>
      <c r="AY66" s="4" t="e">
        <f t="shared" ca="1" si="12"/>
        <v>#REF!</v>
      </c>
      <c r="AZ66" s="2"/>
    </row>
    <row r="67" spans="16:52" x14ac:dyDescent="0.2">
      <c r="P67" s="161" t="s">
        <v>78</v>
      </c>
      <c r="Q67" s="270">
        <v>574.72</v>
      </c>
      <c r="R67" s="297">
        <v>600</v>
      </c>
      <c r="S67" s="297">
        <v>500</v>
      </c>
      <c r="T67" s="364">
        <v>50</v>
      </c>
      <c r="U67" s="364">
        <v>50</v>
      </c>
      <c r="V67" s="490">
        <f>SUM($E28:$G28,$M28,$P28,$Q67:$R67,$T67)</f>
        <v>4434.1899999999996</v>
      </c>
      <c r="W67" s="469" t="e">
        <f>$V67+IF($B$2="mil",1,0.0254)*$C28</f>
        <v>#REF!</v>
      </c>
      <c r="X67" s="469" t="e">
        <f>$Y$57 + IF($B$2="mil",1,0.0254)*DDR2Specs!$E$9</f>
        <v>#REF!</v>
      </c>
      <c r="Y67" s="492" t="e">
        <f>$X$57 + IF($B$2="mil",1,0.0254)*DDR2Specs!$F$9</f>
        <v>#REF!</v>
      </c>
      <c r="Z67" s="491" t="e">
        <f>IF($W67&lt;$X67,$X67-$W67,"Pass")</f>
        <v>#REF!</v>
      </c>
      <c r="AA67" s="492" t="e">
        <f>IF($W67&gt;$Y67,$W67-$Y67,"Pass")</f>
        <v>#REF!</v>
      </c>
      <c r="AB67" s="490">
        <f>SUM($E28:$G28,$M28,$Q67,$P28,$S67,$U67)</f>
        <v>4334.1899999999996</v>
      </c>
      <c r="AC67" s="469" t="e">
        <f>$AB67+IF($B$2="mil",1,0.0254)*$C28</f>
        <v>#REF!</v>
      </c>
      <c r="AD67" s="469" t="e">
        <f>$AE$57 + IF($B$2="mil",1,0.0254)*DDR2Specs!$E$9</f>
        <v>#REF!</v>
      </c>
      <c r="AE67" s="469" t="e">
        <f>$AD$57 + IF($B$2="mil",1,0.0254)*DDR2Specs!$F$9</f>
        <v>#REF!</v>
      </c>
      <c r="AF67" s="491" t="e">
        <f>IF($AC67&lt;$AD67,$AD67-$AC67,"Pass")</f>
        <v>#REF!</v>
      </c>
      <c r="AG67" s="492" t="e">
        <f>IF($AC67&gt;$AE67,$AC67-$AE67,"Pass")</f>
        <v>#REF!</v>
      </c>
      <c r="AH67" s="2"/>
      <c r="AI67" s="2"/>
      <c r="AJ67" s="2"/>
      <c r="AK67" s="2"/>
      <c r="AL67" s="2"/>
      <c r="AM67" s="2"/>
      <c r="AN67" s="503" t="s">
        <v>78</v>
      </c>
      <c r="AO67" s="504" t="e">
        <f>IF(Q67&lt;=IF($B$2="mil",1,0.0254)*1000,"Pass",IF($B$2="mil",1,0.0254)*1000-Q67)</f>
        <v>#REF!</v>
      </c>
      <c r="AP67" s="2"/>
      <c r="AQ67" s="473" t="e">
        <f>IF($R67&lt;=IF($B$2="mil",1,0.0254)*750,"Pass",IF($B$2="mil",1,0.0254)*750-$R67)</f>
        <v>#REF!</v>
      </c>
      <c r="AR67" s="473" t="e">
        <f>IF($S67&lt;=IF($B$2="mil",1,0.0254)*750,"Pass",IF($B$2="mil",1,0.0254)*750-$S67)</f>
        <v>#REF!</v>
      </c>
      <c r="AS67" s="473" t="e">
        <f t="shared" ca="1" si="13"/>
        <v>#NAME?</v>
      </c>
      <c r="AT67" s="473" t="e">
        <f t="shared" ca="1" si="13"/>
        <v>#NAME?</v>
      </c>
      <c r="AU67" s="473" t="e">
        <f>IF(AND(V67&gt;=IF($B$2="mil",1,0.0254)*500, $V67&lt;=IF($B$2="mil",1,0.0254)*6500),"Pass",IF($B$2="mil",1,0.0254)*6500-$V67)</f>
        <v>#REF!</v>
      </c>
      <c r="AV67" s="504" t="e">
        <f>IF(AND($W67&gt;=IF($B$2="mil",1,0.0254)*500, $W67&lt;=IF($B$2="mil",1,0.0254)*7000),"Pass",IF($B$2="mil",1,0.0254)*7000-$W67)</f>
        <v>#REF!</v>
      </c>
      <c r="AW67" s="473" t="e">
        <f>IF(AND($AB67&gt;=IF($B$2="mil",1,0.0254)*500, $AB67&lt;=IF($B$2="mil",1,0.0254)*6500),"Pass",IF($B$2="mil",1,0.0254)*6500-$AB67)</f>
        <v>#REF!</v>
      </c>
      <c r="AX67" s="474" t="e">
        <f>IF(AND($AC67&gt;=IF($B$2="mil",1,0.0254)*500, $AC67&lt;=IF($B$2="mil",1,0.0254)*7000),"Pass",IF($B$2="mil",1,0.0254)*7000-$AC67)</f>
        <v>#REF!</v>
      </c>
      <c r="AY67" s="4" t="e">
        <f t="shared" ca="1" si="12"/>
        <v>#REF!</v>
      </c>
      <c r="AZ67" s="2"/>
    </row>
    <row r="73" spans="16:52" x14ac:dyDescent="0.2">
      <c r="U73" s="1"/>
      <c r="V73"/>
    </row>
    <row r="74" spans="16:52" x14ac:dyDescent="0.2">
      <c r="U74" s="1"/>
      <c r="V74"/>
    </row>
    <row r="75" spans="16:52" x14ac:dyDescent="0.2">
      <c r="U75" s="1"/>
      <c r="V75"/>
    </row>
    <row r="76" spans="16:52" x14ac:dyDescent="0.2">
      <c r="U76" s="1"/>
      <c r="V76"/>
    </row>
    <row r="77" spans="16:52" x14ac:dyDescent="0.2">
      <c r="U77" s="1"/>
      <c r="V77"/>
    </row>
    <row r="78" spans="16:52" x14ac:dyDescent="0.2">
      <c r="U78" s="1"/>
      <c r="V78"/>
    </row>
    <row r="79" spans="16:52" x14ac:dyDescent="0.2">
      <c r="S79" s="1"/>
      <c r="V79"/>
    </row>
    <row r="80" spans="16:52" x14ac:dyDescent="0.2">
      <c r="S80" s="1"/>
      <c r="V80"/>
    </row>
    <row r="81" spans="19:22" x14ac:dyDescent="0.2">
      <c r="S81" s="1"/>
      <c r="V81"/>
    </row>
    <row r="82" spans="19:22" x14ac:dyDescent="0.2">
      <c r="S82" s="1"/>
      <c r="V82"/>
    </row>
    <row r="83" spans="19:22" x14ac:dyDescent="0.2">
      <c r="S83" s="1"/>
      <c r="V83"/>
    </row>
    <row r="84" spans="19:22" x14ac:dyDescent="0.2">
      <c r="S84" s="1"/>
      <c r="V84"/>
    </row>
    <row r="85" spans="19:22" x14ac:dyDescent="0.2">
      <c r="S85" s="1"/>
      <c r="V85"/>
    </row>
    <row r="86" spans="19:22" x14ac:dyDescent="0.2">
      <c r="S86" s="1"/>
      <c r="V86"/>
    </row>
    <row r="87" spans="19:22" x14ac:dyDescent="0.2">
      <c r="S87" s="1"/>
      <c r="V87"/>
    </row>
    <row r="88" spans="19:22" x14ac:dyDescent="0.2">
      <c r="S88" s="1"/>
      <c r="V88"/>
    </row>
    <row r="89" spans="19:22" x14ac:dyDescent="0.2">
      <c r="S89" s="1"/>
      <c r="V89"/>
    </row>
    <row r="90" spans="19:22" x14ac:dyDescent="0.2">
      <c r="S90" s="1"/>
      <c r="V90"/>
    </row>
    <row r="91" spans="19:22" x14ac:dyDescent="0.2">
      <c r="S91" s="1"/>
      <c r="V91"/>
    </row>
    <row r="92" spans="19:22" x14ac:dyDescent="0.2">
      <c r="S92" s="1"/>
      <c r="V92"/>
    </row>
    <row r="93" spans="19:22" x14ac:dyDescent="0.2">
      <c r="S93" s="1"/>
      <c r="V93"/>
    </row>
    <row r="94" spans="19:22" x14ac:dyDescent="0.2">
      <c r="S94" s="1"/>
      <c r="V94"/>
    </row>
    <row r="95" spans="19:22" x14ac:dyDescent="0.2">
      <c r="S95" s="1"/>
      <c r="V95"/>
    </row>
    <row r="96" spans="19:22" x14ac:dyDescent="0.2">
      <c r="S96" s="1"/>
      <c r="V96"/>
    </row>
    <row r="97" spans="19:22" x14ac:dyDescent="0.2">
      <c r="S97" s="1"/>
      <c r="V97"/>
    </row>
    <row r="98" spans="19:22" x14ac:dyDescent="0.2">
      <c r="S98" s="1"/>
      <c r="V98"/>
    </row>
    <row r="99" spans="19:22" x14ac:dyDescent="0.2">
      <c r="T99" s="1"/>
      <c r="V99"/>
    </row>
    <row r="100" spans="19:22" x14ac:dyDescent="0.2">
      <c r="T100" s="1"/>
      <c r="V100"/>
    </row>
    <row r="101" spans="19:22" x14ac:dyDescent="0.2">
      <c r="T101" s="1"/>
      <c r="V101"/>
    </row>
    <row r="102" spans="19:22" x14ac:dyDescent="0.2">
      <c r="T102" s="1"/>
      <c r="V102"/>
    </row>
    <row r="103" spans="19:22" x14ac:dyDescent="0.2">
      <c r="T103" s="1"/>
      <c r="V103"/>
    </row>
    <row r="104" spans="19:22" x14ac:dyDescent="0.2">
      <c r="T104" s="1"/>
      <c r="V104"/>
    </row>
  </sheetData>
  <protectedRanges>
    <protectedRange sqref="J7:K8 J10:K11 J13:K14 E10:H11 E7:H8 J20:K22 P20:P22 E20:G22 E26:G28 J26:K28 R39:S41 R52:S54 R46:S48 R33:S35 Q65:S67 E13:H14 Q59:S61" name="DDR2_COMMAND_8LTB"/>
    <protectedRange sqref="H20:H22 H26:H28" name="DDR2_COMMAND_8LTB_1"/>
  </protectedRanges>
  <mergeCells count="2">
    <mergeCell ref="A1:E1"/>
    <mergeCell ref="F1:G1"/>
  </mergeCells>
  <phoneticPr fontId="25" type="noConversion"/>
  <conditionalFormatting sqref="A1 F1:Z1">
    <cfRule type="expression" dxfId="85" priority="5" stopIfTrue="1">
      <formula>$F$1 = "Fail"</formula>
    </cfRule>
    <cfRule type="expression" dxfId="84" priority="6" stopIfTrue="1">
      <formula>$F$1 = "Pass"</formula>
    </cfRule>
  </conditionalFormatting>
  <conditionalFormatting sqref="R7:S8 U7:AX8 R10:S11 U10:AX11 R13:S14 U13:AX14 Z20:AA22 AF20:AG22 AI20:AX22 Z26:AA28 AF26:AG28 AI26:AX28 Z33:AA35 AF33:AG35 AO33:AO35 AQ33:AX35 Z39:AA41 AF39:AG41 AO39:AO41 AQ39:AX41 Z46:AA48 AF46:AG48 AM46:AM48 AO46:AO48 AQ46:AX48 Z52:AA54 AF52:AG54 AM52:AM54 AO52:AO54 AQ52:AX54 Z59:AA61 AF59:AG61 AO59:AO61 AQ59:AX61 Z65:AA67 AF65:AG67 AO65:AO67 AQ65:AX67">
    <cfRule type="cellIs" priority="1" stopIfTrue="1" operator="equal">
      <formula>"Pass"</formula>
    </cfRule>
    <cfRule type="cellIs" dxfId="83" priority="2" stopIfTrue="1" operator="notEqual">
      <formula>"Pass"</formula>
    </cfRule>
  </conditionalFormatting>
  <conditionalFormatting sqref="T7:T8 T10:T11 T13:T14 AH20:AH22 AH26:AH28">
    <cfRule type="cellIs" dxfId="82" priority="3" stopIfTrue="1" operator="equal">
      <formula>"Pass"</formula>
    </cfRule>
    <cfRule type="cellIs" dxfId="81" priority="4" stopIfTrue="1" operator="notEqual">
      <formula>"Pass"</formula>
    </cfRule>
  </conditionalFormatting>
  <pageMargins left="0.75" right="0.75" top="1" bottom="1" header="0.5" footer="0.5"/>
  <pageSetup orientation="portrait" verticalDpi="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Visio.Drawing.11" shapeId="27653" r:id="rId4">
          <objectPr defaultSize="0" autoPict="0" r:id="rId5">
            <anchor moveWithCells="1">
              <from>
                <xdr:col>0</xdr:col>
                <xdr:colOff>200025</xdr:colOff>
                <xdr:row>28</xdr:row>
                <xdr:rowOff>133350</xdr:rowOff>
              </from>
              <to>
                <xdr:col>9</xdr:col>
                <xdr:colOff>219075</xdr:colOff>
                <xdr:row>35</xdr:row>
                <xdr:rowOff>247650</xdr:rowOff>
              </to>
            </anchor>
          </objectPr>
        </oleObject>
      </mc:Choice>
      <mc:Fallback>
        <oleObject progId="Visio.Drawing.11" shapeId="27653" r:id="rId4"/>
      </mc:Fallback>
    </mc:AlternateContent>
    <mc:AlternateContent xmlns:mc="http://schemas.openxmlformats.org/markup-compatibility/2006">
      <mc:Choice Requires="x14">
        <oleObject progId="Visio.Drawing.11" shapeId="27654" r:id="rId6">
          <objectPr defaultSize="0" autoPict="0" r:id="rId7">
            <anchor moveWithCells="1">
              <from>
                <xdr:col>0</xdr:col>
                <xdr:colOff>180975</xdr:colOff>
                <xdr:row>37</xdr:row>
                <xdr:rowOff>28575</xdr:rowOff>
              </from>
              <to>
                <xdr:col>10</xdr:col>
                <xdr:colOff>123825</xdr:colOff>
                <xdr:row>57</xdr:row>
                <xdr:rowOff>57150</xdr:rowOff>
              </to>
            </anchor>
          </objectPr>
        </oleObject>
      </mc:Choice>
      <mc:Fallback>
        <oleObject progId="Visio.Drawing.11" shapeId="27654" r:id="rId6"/>
      </mc:Fallback>
    </mc:AlternateContent>
  </oleObjects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28"/>
  <dimension ref="A1:BF58"/>
  <sheetViews>
    <sheetView topLeftCell="W1" zoomScale="75" workbookViewId="0">
      <selection activeCell="AS27" sqref="AS27"/>
    </sheetView>
  </sheetViews>
  <sheetFormatPr defaultColWidth="34.140625" defaultRowHeight="12.75" x14ac:dyDescent="0.2"/>
  <cols>
    <col min="1" max="1" width="15.140625" style="4" customWidth="1"/>
    <col min="2" max="2" width="8.85546875" style="4" customWidth="1"/>
    <col min="3" max="3" width="13.85546875" style="3" customWidth="1"/>
    <col min="4" max="4" width="2.140625" style="3" customWidth="1"/>
    <col min="5" max="5" width="12.85546875" style="4" bestFit="1" customWidth="1"/>
    <col min="6" max="6" width="10.140625" style="4" customWidth="1"/>
    <col min="7" max="7" width="10.28515625" style="3" customWidth="1"/>
    <col min="8" max="14" width="14.5703125" style="4" customWidth="1"/>
    <col min="15" max="15" width="2" style="4" customWidth="1"/>
    <col min="16" max="17" width="14.28515625" style="4" customWidth="1"/>
    <col min="18" max="18" width="3" style="4" customWidth="1"/>
    <col min="19" max="20" width="18.28515625" style="4" customWidth="1"/>
    <col min="21" max="21" width="2.85546875" style="4" customWidth="1"/>
    <col min="22" max="22" width="13.28515625" style="4" customWidth="1"/>
    <col min="23" max="23" width="14.85546875" style="4" customWidth="1"/>
    <col min="24" max="24" width="2.5703125" style="4" customWidth="1"/>
    <col min="25" max="26" width="14.85546875" style="4" customWidth="1"/>
    <col min="27" max="27" width="2.140625" style="4" customWidth="1"/>
    <col min="28" max="28" width="14.140625" style="3" customWidth="1"/>
    <col min="29" max="29" width="14.28515625" style="3" customWidth="1"/>
    <col min="30" max="30" width="2.140625" style="4" customWidth="1"/>
    <col min="31" max="32" width="14.28515625" style="3" customWidth="1"/>
    <col min="33" max="35" width="13.140625" style="3" customWidth="1"/>
    <col min="36" max="36" width="12.7109375" style="3" customWidth="1"/>
    <col min="37" max="40" width="17.85546875" style="3" customWidth="1"/>
    <col min="41" max="41" width="21.7109375" style="3" customWidth="1"/>
    <col min="42" max="46" width="17.85546875" style="3" customWidth="1"/>
    <col min="47" max="47" width="2" style="4" customWidth="1"/>
    <col min="48" max="48" width="17.5703125" style="4" customWidth="1"/>
    <col min="49" max="49" width="21.42578125" style="4" customWidth="1"/>
    <col min="50" max="50" width="2.140625" style="2" customWidth="1"/>
    <col min="51" max="51" width="11.42578125" style="2" customWidth="1"/>
    <col min="52" max="52" width="11.28515625" style="2" customWidth="1"/>
    <col min="53" max="53" width="16.28515625" style="2" customWidth="1"/>
    <col min="54" max="55" width="11.28515625" style="2" customWidth="1"/>
    <col min="56" max="56" width="16.28515625" style="2" customWidth="1"/>
    <col min="57" max="57" width="2.140625" style="2" customWidth="1"/>
    <col min="58" max="58" width="11.42578125" style="2" customWidth="1"/>
    <col min="59" max="59" width="11.28515625" style="2" customWidth="1"/>
    <col min="60" max="60" width="16.42578125" style="2" customWidth="1"/>
    <col min="61" max="61" width="2.140625" style="2" customWidth="1"/>
    <col min="62" max="62" width="11.42578125" style="2" customWidth="1"/>
    <col min="63" max="63" width="11.28515625" style="2" customWidth="1"/>
    <col min="64" max="64" width="16.42578125" style="2" customWidth="1"/>
    <col min="65" max="16384" width="34.140625" style="2"/>
  </cols>
  <sheetData>
    <row r="1" spans="1:49" ht="26.25" x14ac:dyDescent="0.2">
      <c r="A1" s="1001" t="s">
        <v>137</v>
      </c>
      <c r="B1" s="1003"/>
      <c r="C1" s="1003"/>
      <c r="D1" s="1003"/>
      <c r="E1" s="101" t="e">
        <f ca="1">IF(AND(AW7="Pass"),"Pass","Fail")</f>
        <v>#REF!</v>
      </c>
      <c r="F1" s="40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50"/>
      <c r="AV1" s="2"/>
      <c r="AW1" s="2"/>
    </row>
    <row r="2" spans="1:49" customFormat="1" ht="18" x14ac:dyDescent="0.2">
      <c r="A2" s="81" t="s">
        <v>58</v>
      </c>
      <c r="B2" s="327" t="e">
        <f>'DDR2 Clocks - 2L'!B2</f>
        <v>#REF!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</row>
    <row r="3" spans="1:49" s="41" customFormat="1" ht="87.75" customHeight="1" x14ac:dyDescent="0.2">
      <c r="A3" s="320" t="s">
        <v>494</v>
      </c>
      <c r="B3" s="86" t="s">
        <v>511</v>
      </c>
      <c r="C3" s="323" t="s">
        <v>512</v>
      </c>
      <c r="D3" s="88"/>
      <c r="E3" s="87" t="e">
        <f>"Escape       Length L0 ["&amp;$B$2&amp;"]"</f>
        <v>#REF!</v>
      </c>
      <c r="F3" s="87" t="e">
        <f>"Breakout Length L1  ["&amp;$B$2&amp;"]"</f>
        <v>#REF!</v>
      </c>
      <c r="G3" s="87" t="e">
        <f>"Main      Length L2  ["&amp;$B$2&amp;"]"</f>
        <v>#REF!</v>
      </c>
      <c r="H3" s="87" t="e">
        <f>"Breakin     Length S1  ["&amp;$B$2&amp;"]"</f>
        <v>#REF!</v>
      </c>
      <c r="I3" s="107" t="e">
        <f>"Stripline Route to Rs L3 ["&amp;$B$2&amp;"]"</f>
        <v>#REF!</v>
      </c>
      <c r="J3" s="107" t="e">
        <f>"Breakin to Rs L4 ["&amp;$B$2&amp;"]"</f>
        <v>#REF!</v>
      </c>
      <c r="K3" s="107" t="e">
        <f>"Rs length ["&amp;$B$2&amp;"]"</f>
        <v>#REF!</v>
      </c>
      <c r="L3" s="107" t="e">
        <f>"Breakout from Rs L5 ["&amp;$B$2&amp;"]"</f>
        <v>#REF!</v>
      </c>
      <c r="M3" s="107" t="e">
        <f>"Stripline between Rs and SDRAM L6 ["&amp;$B$2&amp;"]"</f>
        <v>#REF!</v>
      </c>
      <c r="N3" s="107" t="e">
        <f>"Breakin to SDRAM L7 ["&amp;$B$2&amp;"]"</f>
        <v>#REF!</v>
      </c>
      <c r="O3" s="107"/>
      <c r="P3" s="532" t="e">
        <f>"Total MB Length to SODIMM (L0+L1+L2+S1)  ["&amp;$B$2&amp;"]"</f>
        <v>#REF!</v>
      </c>
      <c r="Q3" s="532" t="e">
        <f>"Total MB Length to SDRAM (L0+L1+L2+L3+L4+Rs+L5+L6+L7)  ["&amp;$B$2&amp;"]"</f>
        <v>#REF!</v>
      </c>
      <c r="R3" s="5"/>
      <c r="S3" s="5" t="e">
        <f>"Total Pad-to-SODIMM Connector Length (P0+L0+L1+L2+S1)  ["&amp;$B$2&amp;"]"</f>
        <v>#REF!</v>
      </c>
      <c r="T3" s="5" t="e">
        <f>"Total Pad-to-SDRAM Pin Length (P0+L0+L1+L2+L3+L4+Rs+L5+L6+L7)  ["&amp;$B$2&amp;"]"</f>
        <v>#REF!</v>
      </c>
      <c r="U3" s="5"/>
      <c r="V3" s="5" t="e">
        <f>"Target Min Length to SODIMM
["&amp;$B$2&amp;"]"</f>
        <v>#REF!</v>
      </c>
      <c r="W3" s="5" t="e">
        <f>"Target Max Length to SODIMM 
["&amp;$B$2&amp;"]"</f>
        <v>#REF!</v>
      </c>
      <c r="X3" s="5"/>
      <c r="Y3" s="5" t="e">
        <f>"Length to SODIMM Routed Too Short  ["&amp;$B$2&amp;"]"</f>
        <v>#REF!</v>
      </c>
      <c r="Z3" s="5" t="e">
        <f>"Length to SODIMM Routed Too Long  ["&amp;$B$2&amp;"]"</f>
        <v>#REF!</v>
      </c>
      <c r="AA3" s="5"/>
      <c r="AB3" s="5" t="e">
        <f>"Target Min Length to SDRAM
["&amp;$B$2&amp;"]"</f>
        <v>#REF!</v>
      </c>
      <c r="AC3" s="5" t="e">
        <f>"Target Max Length to SDRAM 
["&amp;$B$2&amp;"]"</f>
        <v>#REF!</v>
      </c>
      <c r="AD3" s="5"/>
      <c r="AE3" s="5" t="e">
        <f>"Length to SDRAM Routed Too Short  ["&amp;$B$2&amp;"]"</f>
        <v>#REF!</v>
      </c>
      <c r="AF3" s="5" t="e">
        <f>"Length to SDRAM Routed Too Long  ["&amp;$B$2&amp;"]"</f>
        <v>#REF!</v>
      </c>
      <c r="AG3" s="5" t="e">
        <f>"DQS-DQS# SODIMM Length Test
(&lt;="&amp;IF($B$2="mil",1,0.0254)*5&amp;$B$2&amp;")"</f>
        <v>#REF!</v>
      </c>
      <c r="AH3" s="5" t="e">
        <f>"DQS-DQS# SDRAM Length Test
(&lt;="&amp;IF($B$2="mil",1,0.0254)*5&amp;$B$2&amp;")"</f>
        <v>#REF!</v>
      </c>
      <c r="AI3" s="5" t="e">
        <f>"L0 Length Test (&lt;="&amp;IF($B$2="mil",1,0.0254)*50&amp;$B$2&amp;")"</f>
        <v>#REF!</v>
      </c>
      <c r="AJ3" s="5" t="e">
        <f>"L1 Length Test (&lt;="&amp;IF($B$2="mil",1,0.0254)*500&amp;$B$2&amp;")"</f>
        <v>#REF!</v>
      </c>
      <c r="AK3" s="5" t="e">
        <f>"S1 Length test (&lt;="&amp;IF($B$2="mil",1,0.0254)*250&amp;$B$2&amp;")"</f>
        <v>#REF!</v>
      </c>
      <c r="AL3" s="5" t="e">
        <f>"L3 Length Test (&lt;="&amp;IF($B$2="mil",1,0.0254)*1000&amp;$B$2&amp;" or L3 + L4 &lt;= "&amp;IF($B$2="mil",1,0.0254)*1125&amp;$B$2&amp;")"</f>
        <v>#REF!</v>
      </c>
      <c r="AM3" s="5" t="e">
        <f>"L4 Length Test (&lt;="&amp;IF($B$2="mil",1,0.0254)*125&amp;$B$2&amp;")"</f>
        <v>#REF!</v>
      </c>
      <c r="AN3" s="5" t="e">
        <f>"L5 Length Test (&lt;="&amp;IF($B$2="mil",1,0.0254)*125&amp;$B$2&amp;")"</f>
        <v>#REF!</v>
      </c>
      <c r="AO3" s="5" t="e">
        <f>"L6 Length Test (&lt;="&amp;IF($B$2="mil",1,0.0254)*1250&amp;$B$2&amp;" or L5+L6+L7 &lt;="&amp;IF($B$2="mil",1,0.0254)*1525&amp;$B$2&amp;")"</f>
        <v>#REF!</v>
      </c>
      <c r="AP3" s="5" t="e">
        <f>"L7 Length Test (&lt;="&amp;IF($B$2="mil",1,0.0254)*150&amp;$B$2&amp;") or (L6+L7 &lt;= "&amp;IF($B$2="mil",1,0.0254)*1400&amp;$B$2&amp;")"</f>
        <v>#REF!</v>
      </c>
      <c r="AQ3" s="5" t="e">
        <f>"Total MB Length to SODIMM (L0+L1+L2+S1) Test
 "&amp;IF($B$2="mil","(500-4000mil)","(12.7-114.3mm)")</f>
        <v>#REF!</v>
      </c>
      <c r="AR3" s="5" t="e">
        <f>"Total Length to SODIMM (P0+L0+L1+L2+S1) Test
 (&lt;="&amp; IF($B$2="mil","4500mil","127mm")&amp;")"</f>
        <v>#REF!</v>
      </c>
      <c r="AS3" s="5" t="e">
        <f>"Total MB Length to SDRAM (L0+L1+L2+L3+L4+Rs+L5+L6+L7) Test
 "&amp;IF($B$2="mil","(500-5500mil)","(12.7-114.3mm)")</f>
        <v>#REF!</v>
      </c>
      <c r="AT3" s="5" t="e">
        <f>"Total Length to SDRAM (P0+L0+L1+L2+L3+L4+Rs+L5+L6+L7) Test
 (&lt;="&amp; IF($B$2="mil","6000mil","127mm")&amp;")"</f>
        <v>#REF!</v>
      </c>
      <c r="AU3" s="5"/>
    </row>
    <row r="4" spans="1:49" x14ac:dyDescent="0.2">
      <c r="A4" s="94" t="s">
        <v>297</v>
      </c>
      <c r="B4" s="325"/>
      <c r="C4" s="90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7"/>
      <c r="Q4" s="7"/>
      <c r="R4" s="8"/>
      <c r="S4" s="42"/>
      <c r="T4" s="42"/>
      <c r="U4" s="8"/>
      <c r="V4" s="8"/>
      <c r="W4" s="8"/>
      <c r="X4" s="8"/>
      <c r="Y4" s="8"/>
      <c r="Z4" s="8"/>
      <c r="AA4" s="8"/>
      <c r="AB4" s="8"/>
      <c r="AC4" s="13"/>
      <c r="AD4" s="8"/>
      <c r="AE4" s="13"/>
      <c r="AF4" s="13"/>
      <c r="AG4" s="13"/>
      <c r="AH4" s="13"/>
      <c r="AI4" s="13"/>
      <c r="AJ4" s="13"/>
      <c r="AK4" s="13"/>
      <c r="AL4" s="8"/>
      <c r="AM4" s="8"/>
      <c r="AN4" s="8"/>
      <c r="AO4" s="8"/>
      <c r="AP4" s="8"/>
      <c r="AQ4" s="8"/>
      <c r="AR4" s="8"/>
      <c r="AS4" s="8"/>
      <c r="AT4" s="8"/>
      <c r="AU4" s="10"/>
      <c r="AV4" s="2"/>
      <c r="AW4" s="2"/>
    </row>
    <row r="5" spans="1:49" x14ac:dyDescent="0.2">
      <c r="A5" s="321" t="s">
        <v>72</v>
      </c>
      <c r="B5" s="108"/>
      <c r="C5" s="324"/>
      <c r="D5" s="44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67"/>
      <c r="Q5" s="67"/>
      <c r="R5" s="44"/>
      <c r="S5" s="54"/>
      <c r="T5" s="54"/>
      <c r="U5" s="485" t="s">
        <v>282</v>
      </c>
      <c r="V5" s="145" t="e">
        <f>MIN('DDR2 Clocks - 2L'!$R$10:$R$13)</f>
        <v>#REF!</v>
      </c>
      <c r="W5" s="486" t="e">
        <f>MAX('DDR2 Clocks - 2L'!$R$10:$R$13)</f>
        <v>#REF!</v>
      </c>
      <c r="X5" s="44"/>
      <c r="Y5" s="54"/>
      <c r="Z5" s="54"/>
      <c r="AA5" s="485" t="s">
        <v>272</v>
      </c>
      <c r="AB5" s="145" t="e">
        <f>MIN('DDR2 Clocks - 2L'!$R$5:$R$6)</f>
        <v>#REF!</v>
      </c>
      <c r="AC5" s="486" t="e">
        <f>MAX('DDR2 Clocks - 2L'!$R$5:$R$6)</f>
        <v>#REF!</v>
      </c>
      <c r="AD5" s="54"/>
      <c r="AE5" s="54"/>
      <c r="AF5" s="54"/>
      <c r="AG5" s="54"/>
      <c r="AH5" s="54"/>
      <c r="AI5" s="54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8"/>
      <c r="AV5" s="2"/>
      <c r="AW5" s="2"/>
    </row>
    <row r="6" spans="1:49" x14ac:dyDescent="0.2">
      <c r="A6" s="94" t="s">
        <v>298</v>
      </c>
      <c r="B6" s="326"/>
      <c r="C6" s="104"/>
      <c r="D6" s="51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55"/>
      <c r="X6" s="45"/>
      <c r="Y6" s="55"/>
      <c r="Z6" s="55"/>
      <c r="AA6" s="55"/>
      <c r="AB6" s="55"/>
      <c r="AC6" s="56"/>
      <c r="AD6" s="55"/>
      <c r="AE6" s="45"/>
      <c r="AF6" s="45"/>
      <c r="AG6" s="45"/>
      <c r="AH6" s="45"/>
      <c r="AI6" s="45"/>
      <c r="AJ6" s="55"/>
      <c r="AK6" s="55"/>
      <c r="AL6" s="55"/>
      <c r="AM6" s="55"/>
      <c r="AN6" s="55"/>
      <c r="AO6" s="55"/>
      <c r="AP6" s="55"/>
      <c r="AQ6" s="55"/>
      <c r="AR6" s="55"/>
      <c r="AS6" s="55"/>
      <c r="AT6" s="55"/>
      <c r="AU6" s="57"/>
      <c r="AV6" s="2"/>
      <c r="AW6" s="2"/>
    </row>
    <row r="7" spans="1:49" x14ac:dyDescent="0.2">
      <c r="A7" s="322" t="s">
        <v>138</v>
      </c>
      <c r="B7" s="433" t="s">
        <v>497</v>
      </c>
      <c r="C7" s="562">
        <v>373.89763779527561</v>
      </c>
      <c r="D7" s="16"/>
      <c r="E7" s="17">
        <v>29.7</v>
      </c>
      <c r="F7" s="17">
        <v>0</v>
      </c>
      <c r="G7" s="271">
        <v>2106.1799999999998</v>
      </c>
      <c r="H7" s="271">
        <v>87</v>
      </c>
      <c r="I7" s="17">
        <v>0</v>
      </c>
      <c r="J7" s="271">
        <v>78.709999999999994</v>
      </c>
      <c r="K7" s="17">
        <v>40</v>
      </c>
      <c r="L7" s="271">
        <v>115</v>
      </c>
      <c r="M7" s="271">
        <v>991.24</v>
      </c>
      <c r="N7" s="271">
        <v>141.94999999999999</v>
      </c>
      <c r="O7" s="58"/>
      <c r="P7" s="441">
        <f xml:space="preserve"> E7+F7+G7+H7</f>
        <v>2222.8799999999997</v>
      </c>
      <c r="Q7" s="441">
        <f>SUM(E7:G7,I7:N7)</f>
        <v>3502.7799999999997</v>
      </c>
      <c r="R7" s="533"/>
      <c r="S7" s="441" t="e">
        <f>P7+IF($B$2="mil",1,0.0254)*C7</f>
        <v>#REF!</v>
      </c>
      <c r="T7" s="441" t="e">
        <f>Q7+IF($B$2="mil",1,0.0254)*C7</f>
        <v>#REF!</v>
      </c>
      <c r="U7" s="533"/>
      <c r="V7" s="441" t="e">
        <f>MAX(V$5:W$5)+IF($B$2="mil",1,0.0254)*DDR2Specs!$B$2</f>
        <v>#REF!</v>
      </c>
      <c r="W7" s="441" t="e">
        <f>MIN(V$5:W$5)+IF($B$2="mil",1,0.0254)*DDR2Specs!$C$2</f>
        <v>#REF!</v>
      </c>
      <c r="X7" s="533"/>
      <c r="Y7" s="534" t="e">
        <f t="shared" ref="Y7:Y31" si="0">IF($S7&lt;$V7,$V7-$S7,"Pass")</f>
        <v>#REF!</v>
      </c>
      <c r="Z7" s="447" t="e">
        <f>IF($S7&gt;$W7,$S7-$W7,"Pass")</f>
        <v>#REF!</v>
      </c>
      <c r="AA7" s="18"/>
      <c r="AB7" s="441" t="e">
        <f>MAX(AB$5:AC$5)+IF($B$2="mil",1,0.0254)*DDR2Specs!$E$2</f>
        <v>#REF!</v>
      </c>
      <c r="AC7" s="441" t="e">
        <f>MIN(AB$5:AC$5)+IF($B$2="mil",1,0.0254)*DDR2Specs!$F$2</f>
        <v>#REF!</v>
      </c>
      <c r="AD7" s="18"/>
      <c r="AE7" s="534" t="e">
        <f>IF($T7&lt;$AB7,$AB7-$T7,"Pass")</f>
        <v>#REF!</v>
      </c>
      <c r="AF7" s="447" t="e">
        <f>IF($T7&gt;$AC7,$T7-$AC7,"Pass")</f>
        <v>#REF!</v>
      </c>
      <c r="AG7" s="447" t="e">
        <f>IF((ABS($S7-$S8)&lt;=IF($B$2="mil",1,0.0254)*5),"Pass",ABS($S7-$S8))</f>
        <v>#REF!</v>
      </c>
      <c r="AH7" s="447" t="e">
        <f>IF((ABS($T7-$T8)&lt;=IF($B$2="mil",1,0.0254)*5),"Pass",ABS($T7-$T8))</f>
        <v>#REF!</v>
      </c>
      <c r="AI7" s="447" t="e">
        <f>IF($E7&lt;=IF($B$2="mil",1,0.0254)*50,"Pass",IF($B$2="mil",1,0.0254)*50-$E7)</f>
        <v>#REF!</v>
      </c>
      <c r="AJ7" s="447" t="e">
        <f>IF($F7&lt;=IF($B$2="mil",1,0.0254)*500,"Pass",IF($B$2="mil",1,0.0254)*500-$F7)</f>
        <v>#REF!</v>
      </c>
      <c r="AK7" s="447" t="e">
        <f>IF($H7&lt;=IF($B$2="mil",1,0.0254)*250,"Pass",IF($B$2="mil",1,0.0254)*250-$H7)</f>
        <v>#REF!</v>
      </c>
      <c r="AL7" s="447" t="e">
        <f ca="1">CheckLength(IF($B$2="mil",1,0.0254)*1125, IF($B$2="mil",1,0.0254)*125-J7, 0, I7,J7,0)</f>
        <v>#NAME?</v>
      </c>
      <c r="AM7" s="447" t="e">
        <f>IF($J7&lt;=IF($B$2="mil",1,0.0254)*125,"Pass",IF($B$2="mil",1,0.0254)*125-$J7)</f>
        <v>#REF!</v>
      </c>
      <c r="AN7" s="447" t="e">
        <f>IF($L7&lt;=IF($B$2="mil",1,0.0254)*125,"Pass",IF($B$2="mil",1,0.0254)*125-$L7)</f>
        <v>#REF!</v>
      </c>
      <c r="AO7" s="447" t="e">
        <f ca="1">CheckLength(IF($B$2="mil",1,0.0254)*1525, 125-L7, IF($B$2="mil",1,0.0254)*150-N7, M7,L7,N7)</f>
        <v>#NAME?</v>
      </c>
      <c r="AP7" s="447" t="e">
        <f ca="1">CheckLength2(IF($B$2="mil",1,0.0254)*1400,M7,N7,0)</f>
        <v>#NAME?</v>
      </c>
      <c r="AQ7" s="447" t="e">
        <f>IF(AND($P7&gt;=IF($B$2="mil",1,0.0254)*500, $P7&lt;=IF($B$2="mil",1,0.0254)*4000),"Pass",IF($B$2="mil",1,0.0254)*4000-$P7)</f>
        <v>#REF!</v>
      </c>
      <c r="AR7" s="447" t="e">
        <f>IF(AND($S7&gt;=IF($B$2="mil",1,0.0254)*500, $S7&lt;=IF($B$2="mil",1,0.0254)*4500),"Pass",IF($B$2="mil",1,0.0254)*4500-$S7)</f>
        <v>#REF!</v>
      </c>
      <c r="AS7" s="447" t="e">
        <f>IF(AND($Q7&gt;=IF($B$2="mil",1,0.0254)*500, $Q7&lt;=IF($B$2="mil",1,0.0254)*5500),"Pass",IF($B$2="mil",1,0.0254)*5500-$Q7)</f>
        <v>#REF!</v>
      </c>
      <c r="AT7" s="447" t="e">
        <f>IF(AND($T7&gt;=IF($B$2="mil",1,0.0254)*500, $T7&lt;=IF($B$2="mil",1,0.0254)*6000),"Pass",IF($B$2="mil",1,0.0254)*6000-$T7)</f>
        <v>#REF!</v>
      </c>
      <c r="AU7" s="18"/>
      <c r="AV7" s="2" t="e">
        <f ca="1">IF(AND(AI7="Pass",AR7="Pass",AK7="Pass",AJ7="Pass",AQ7="Pass",Y7="Pass",Z7="Pass",AP7="Pass",AO7="Pass",AN7="Pass",AM7="Pass",AL7="Pass",AG7="Pass",AH7="Pass",AS7="Pass",AT7="Pass",AE7="Pass",AF7="Pass"),"Pass","Fail")</f>
        <v>#REF!</v>
      </c>
      <c r="AW7" s="2" t="e">
        <f ca="1">IF(AND(AV7="Pass",AV8="Pass",AV9="Pass",AV10="Pass",AV14="Pass",AV15="Pass",AV16="Pass",AV17="Pass",AV21="Pass",AV22="Pass",AV23="Pass",AV24="Pass",AV28="Pass",AV29="Pass",AV30="Pass",AV31="Pass"),"Pass","Fail")</f>
        <v>#REF!</v>
      </c>
    </row>
    <row r="8" spans="1:49" x14ac:dyDescent="0.2">
      <c r="A8" s="322" t="s">
        <v>139</v>
      </c>
      <c r="B8" s="433" t="s">
        <v>504</v>
      </c>
      <c r="C8" s="562">
        <v>373.93700787401571</v>
      </c>
      <c r="D8" s="16"/>
      <c r="E8" s="17">
        <v>29.7</v>
      </c>
      <c r="F8" s="17">
        <v>0</v>
      </c>
      <c r="G8" s="271">
        <v>2113.23</v>
      </c>
      <c r="H8" s="271">
        <v>80.430000000000007</v>
      </c>
      <c r="I8" s="17">
        <v>0</v>
      </c>
      <c r="J8" s="271">
        <v>65.78</v>
      </c>
      <c r="K8" s="17">
        <v>40</v>
      </c>
      <c r="L8" s="271">
        <v>120</v>
      </c>
      <c r="M8" s="271">
        <v>988.24</v>
      </c>
      <c r="N8" s="271">
        <v>145.30000000000001</v>
      </c>
      <c r="O8" s="58"/>
      <c r="P8" s="441">
        <f t="shared" ref="P8:P31" si="1" xml:space="preserve"> E8+F8+G8+H8</f>
        <v>2223.3599999999997</v>
      </c>
      <c r="Q8" s="441">
        <f t="shared" ref="Q8:Q31" si="2">SUM(E8:G8,I8:N8)</f>
        <v>3502.25</v>
      </c>
      <c r="R8" s="533"/>
      <c r="S8" s="441" t="e">
        <f>P8+IF($B$2="mil",1,0.0254)*C8</f>
        <v>#REF!</v>
      </c>
      <c r="T8" s="441" t="e">
        <f>Q8+IF($B$2="mil",1,0.0254)*C8</f>
        <v>#REF!</v>
      </c>
      <c r="U8" s="533"/>
      <c r="V8" s="441" t="e">
        <f>MAX(V$5:W$5)+IF($B$2="mil",1,0.0254)*DDR2Specs!$B$2</f>
        <v>#REF!</v>
      </c>
      <c r="W8" s="441" t="e">
        <f>MIN(V$5:W$5)+IF($B$2="mil",1,0.0254)*DDR2Specs!$C$2</f>
        <v>#REF!</v>
      </c>
      <c r="X8" s="533"/>
      <c r="Y8" s="534" t="e">
        <f t="shared" si="0"/>
        <v>#REF!</v>
      </c>
      <c r="Z8" s="447" t="e">
        <f t="shared" ref="Z8:Z31" si="3">IF($S8&gt;$W8,$S8-$W8,"Pass")</f>
        <v>#REF!</v>
      </c>
      <c r="AA8" s="18"/>
      <c r="AB8" s="441" t="e">
        <f>MAX(AB$5:AC$5)+IF($B$2="mil",1,0.0254)*DDR2Specs!$E$2</f>
        <v>#REF!</v>
      </c>
      <c r="AC8" s="441" t="e">
        <f>MIN(AB$5:AC$5)+IF($B$2="mil",1,0.0254)*DDR2Specs!$F$2</f>
        <v>#REF!</v>
      </c>
      <c r="AD8" s="18"/>
      <c r="AE8" s="534" t="e">
        <f t="shared" ref="AE8:AE31" si="4">IF($T8&lt;$AB8,$AB8-$T8,"Pass")</f>
        <v>#REF!</v>
      </c>
      <c r="AF8" s="447" t="e">
        <f t="shared" ref="AF8:AF31" si="5">IF($T8&gt;$AC8,$T8-$AC8,"Pass")</f>
        <v>#REF!</v>
      </c>
      <c r="AG8" s="447" t="e">
        <f>IF((ABS($S8-$S7)&lt;=IF($B$2="mil",1,0.0254)*5),"Pass",ABS($S8-$S7))</f>
        <v>#REF!</v>
      </c>
      <c r="AH8" s="447" t="e">
        <f>IF((ABS($T8-$T7)&lt;=IF($B$2="mil",1,0.0254)*5),"Pass",ABS($T8-$T7))</f>
        <v>#REF!</v>
      </c>
      <c r="AI8" s="447" t="e">
        <f>IF($E8&lt;=IF($B$2="mil",1,0.0254)*50,"Pass",IF($B$2="mil",1,0.0254)*50-$E8)</f>
        <v>#REF!</v>
      </c>
      <c r="AJ8" s="447" t="e">
        <f t="shared" ref="AJ8:AJ31" si="6">IF($F8&lt;=IF($B$2="mil",1,0.0254)*500,"Pass",IF($B$2="mil",1,0.0254)*500-$F8)</f>
        <v>#REF!</v>
      </c>
      <c r="AK8" s="447" t="e">
        <f>IF($H8&lt;=IF($B$2="mil",1,0.0254)*250,"Pass",IF($B$2="mil",1,0.0254)*250-$H8)</f>
        <v>#REF!</v>
      </c>
      <c r="AL8" s="447" t="e">
        <f ca="1">CheckLength(IF($B$2="mil",1,0.0254)*1125, IF($B$2="mil",1,0.0254)*125-J8, 0, I8,J8,0)</f>
        <v>#NAME?</v>
      </c>
      <c r="AM8" s="447" t="e">
        <f t="shared" ref="AM8:AM31" si="7">IF($J8&lt;=IF($B$2="mil",1,0.0254)*125,"Pass",IF($B$2="mil",1,0.0254)*125-$J8)</f>
        <v>#REF!</v>
      </c>
      <c r="AN8" s="447" t="e">
        <f t="shared" ref="AN8:AN31" si="8">IF($L8&lt;=IF($B$2="mil",1,0.0254)*125,"Pass",IF($B$2="mil",1,0.0254)*125-$L8)</f>
        <v>#REF!</v>
      </c>
      <c r="AO8" s="447" t="e">
        <f ca="1">CheckLength(IF($B$2="mil",1,0.0254)*1525, 125-L8, IF($B$2="mil",1,0.0254)*150-N8, M8,L8,N8)</f>
        <v>#NAME?</v>
      </c>
      <c r="AP8" s="447" t="e">
        <f ca="1">CheckLength2(IF($B$2="mil",1,0.0254)*1400,M8,N8,0)</f>
        <v>#NAME?</v>
      </c>
      <c r="AQ8" s="447" t="e">
        <f>IF(AND($P8&gt;=IF($B$2="mil",1,0.0254)*500, $P8&lt;=IF($B$2="mil",1,0.0254)*4000),"Pass",IF($B$2="mil",1,0.0254)*4000-$P8)</f>
        <v>#REF!</v>
      </c>
      <c r="AR8" s="447" t="e">
        <f>IF(AND($S8&gt;=IF($B$2="mil",1,0.0254)*500, $S8&lt;=IF($B$2="mil",1,0.0254)*4500),"Pass",IF($B$2="mil",1,0.0254)*4500-$S8)</f>
        <v>#REF!</v>
      </c>
      <c r="AS8" s="447" t="e">
        <f>IF(AND($Q8&gt;=IF($B$2="mil",1,0.0254)*500, $Q8&lt;=IF($B$2="mil",1,0.0254)*5500),"Pass",IF($B$2="mil",1,0.0254)*5500-$Q8)</f>
        <v>#REF!</v>
      </c>
      <c r="AT8" s="447" t="e">
        <f>IF(AND($T8&gt;=IF($B$2="mil",1,0.0254)*500, $T8&lt;=IF($B$2="mil",1,0.0254)*6000),"Pass",IF($B$2="mil",1,0.0254)*6000-$T8)</f>
        <v>#REF!</v>
      </c>
      <c r="AU8" s="18"/>
      <c r="AV8" s="2" t="e">
        <f t="shared" ref="AV8:AV31" ca="1" si="9">IF(AND(AI8="Pass",AR8="Pass",AK8="Pass",AJ8="Pass",AQ8="Pass",Y8="Pass",Z8="Pass",AP8="Pass",AO8="Pass",AN8="Pass",AM8="Pass",AL8="Pass",AG8="Pass",AH8="Pass",AS8="Pass",AT8="Pass",AE8="Pass",AF8="Pass"),"Pass","Fail")</f>
        <v>#REF!</v>
      </c>
      <c r="AW8" s="2"/>
    </row>
    <row r="9" spans="1:49" x14ac:dyDescent="0.2">
      <c r="A9" s="322" t="s">
        <v>140</v>
      </c>
      <c r="B9" s="433" t="s">
        <v>498</v>
      </c>
      <c r="C9" s="562">
        <v>768.42519685039372</v>
      </c>
      <c r="D9" s="16"/>
      <c r="E9" s="17">
        <v>29.7</v>
      </c>
      <c r="F9" s="17">
        <v>0</v>
      </c>
      <c r="G9" s="271">
        <v>1822.95</v>
      </c>
      <c r="H9" s="271">
        <v>79.39</v>
      </c>
      <c r="I9" s="17">
        <v>0</v>
      </c>
      <c r="J9" s="271">
        <v>57.5</v>
      </c>
      <c r="K9" s="17">
        <v>40</v>
      </c>
      <c r="L9" s="271">
        <v>120</v>
      </c>
      <c r="M9" s="271">
        <v>1058.08</v>
      </c>
      <c r="N9" s="271">
        <v>76.05</v>
      </c>
      <c r="O9" s="58"/>
      <c r="P9" s="441">
        <f t="shared" si="1"/>
        <v>1932.0400000000002</v>
      </c>
      <c r="Q9" s="441">
        <f t="shared" si="2"/>
        <v>3204.28</v>
      </c>
      <c r="R9" s="533"/>
      <c r="S9" s="441" t="e">
        <f>P9+IF($B$2="mil",1,0.0254)*C9</f>
        <v>#REF!</v>
      </c>
      <c r="T9" s="441" t="e">
        <f>Q9+IF($B$2="mil",1,0.0254)*C9</f>
        <v>#REF!</v>
      </c>
      <c r="U9" s="533"/>
      <c r="V9" s="441" t="e">
        <f>MAX(V$5:W$5)+IF($B$2="mil",1,0.0254)*DDR2Specs!$B$2</f>
        <v>#REF!</v>
      </c>
      <c r="W9" s="441" t="e">
        <f>MIN(V$5:W$5)+IF($B$2="mil",1,0.0254)*DDR2Specs!$C$2</f>
        <v>#REF!</v>
      </c>
      <c r="X9" s="533"/>
      <c r="Y9" s="534" t="e">
        <f t="shared" si="0"/>
        <v>#REF!</v>
      </c>
      <c r="Z9" s="447" t="e">
        <f t="shared" si="3"/>
        <v>#REF!</v>
      </c>
      <c r="AA9" s="18"/>
      <c r="AB9" s="441" t="e">
        <f>MAX(AB$5:AC$5)+IF($B$2="mil",1,0.0254)*DDR2Specs!$E$2</f>
        <v>#REF!</v>
      </c>
      <c r="AC9" s="441" t="e">
        <f>MIN(AB$5:AC$5)+IF($B$2="mil",1,0.0254)*DDR2Specs!$F$2</f>
        <v>#REF!</v>
      </c>
      <c r="AD9" s="18"/>
      <c r="AE9" s="534" t="e">
        <f t="shared" si="4"/>
        <v>#REF!</v>
      </c>
      <c r="AF9" s="447" t="e">
        <f t="shared" si="5"/>
        <v>#REF!</v>
      </c>
      <c r="AG9" s="447" t="e">
        <f>IF((ABS($S9-$S10)&lt;=IF($B$2="mil",1,0.0254)*5),"Pass",ABS($S9-$S10))</f>
        <v>#REF!</v>
      </c>
      <c r="AH9" s="447" t="e">
        <f>IF((ABS($T9-$T10)&lt;=IF($B$2="mil",1,0.0254)*5),"Pass",ABS($T9-$T10))</f>
        <v>#REF!</v>
      </c>
      <c r="AI9" s="447" t="e">
        <f>IF($E9&lt;=IF($B$2="mil",1,0.0254)*50,"Pass",IF($B$2="mil",1,0.0254)*50-$E9)</f>
        <v>#REF!</v>
      </c>
      <c r="AJ9" s="447" t="e">
        <f t="shared" si="6"/>
        <v>#REF!</v>
      </c>
      <c r="AK9" s="447" t="e">
        <f>IF($H9&lt;=IF($B$2="mil",1,0.0254)*250,"Pass",IF($B$2="mil",1,0.0254)*250-$H9)</f>
        <v>#REF!</v>
      </c>
      <c r="AL9" s="447" t="e">
        <f ca="1">CheckLength(IF($B$2="mil",1,0.0254)*1125, IF($B$2="mil",1,0.0254)*125-J9, 0, I9,J9,0)</f>
        <v>#NAME?</v>
      </c>
      <c r="AM9" s="447" t="e">
        <f t="shared" si="7"/>
        <v>#REF!</v>
      </c>
      <c r="AN9" s="447" t="e">
        <f t="shared" si="8"/>
        <v>#REF!</v>
      </c>
      <c r="AO9" s="447" t="e">
        <f ca="1">CheckLength(IF($B$2="mil",1,0.0254)*1525, 125-L9, IF($B$2="mil",1,0.0254)*150-N9, M9,L9,N9)</f>
        <v>#NAME?</v>
      </c>
      <c r="AP9" s="447" t="e">
        <f ca="1">CheckLength2(IF($B$2="mil",1,0.0254)*1400,M9,N9,0)</f>
        <v>#NAME?</v>
      </c>
      <c r="AQ9" s="447" t="e">
        <f>IF(AND($P9&gt;=IF($B$2="mil",1,0.0254)*500, $P9&lt;=IF($B$2="mil",1,0.0254)*4000),"Pass",IF($B$2="mil",1,0.0254)*4000-$P9)</f>
        <v>#REF!</v>
      </c>
      <c r="AR9" s="447" t="e">
        <f>IF(AND($S9&gt;=IF($B$2="mil",1,0.0254)*500, $S9&lt;=IF($B$2="mil",1,0.0254)*4500),"Pass",IF($B$2="mil",1,0.0254)*4500-$S9)</f>
        <v>#REF!</v>
      </c>
      <c r="AS9" s="447" t="e">
        <f>IF(AND($Q9&gt;=IF($B$2="mil",1,0.0254)*500, $Q9&lt;=IF($B$2="mil",1,0.0254)*5500),"Pass",IF($B$2="mil",1,0.0254)*5500-$Q9)</f>
        <v>#REF!</v>
      </c>
      <c r="AT9" s="447" t="e">
        <f>IF(AND($T9&gt;=IF($B$2="mil",1,0.0254)*500, $T9&lt;=IF($B$2="mil",1,0.0254)*6000),"Pass",IF($B$2="mil",1,0.0254)*6000-$T9)</f>
        <v>#REF!</v>
      </c>
      <c r="AU9" s="18"/>
      <c r="AV9" s="2" t="e">
        <f t="shared" ca="1" si="9"/>
        <v>#REF!</v>
      </c>
      <c r="AW9" s="2"/>
    </row>
    <row r="10" spans="1:49" x14ac:dyDescent="0.2">
      <c r="A10" s="322" t="s">
        <v>141</v>
      </c>
      <c r="B10" s="433" t="s">
        <v>359</v>
      </c>
      <c r="C10" s="562">
        <v>768.46456692913387</v>
      </c>
      <c r="D10" s="16"/>
      <c r="E10" s="17">
        <v>29.7</v>
      </c>
      <c r="F10" s="17">
        <v>0</v>
      </c>
      <c r="G10" s="271">
        <v>1820.82</v>
      </c>
      <c r="H10" s="271">
        <v>81.5</v>
      </c>
      <c r="I10" s="17">
        <v>0</v>
      </c>
      <c r="J10" s="271">
        <v>61.64</v>
      </c>
      <c r="K10" s="17">
        <v>40</v>
      </c>
      <c r="L10" s="271">
        <v>120</v>
      </c>
      <c r="M10" s="271">
        <v>1057.48</v>
      </c>
      <c r="N10" s="271">
        <v>79.16</v>
      </c>
      <c r="O10" s="58"/>
      <c r="P10" s="441">
        <f t="shared" si="1"/>
        <v>1932.02</v>
      </c>
      <c r="Q10" s="441">
        <f>SUM(E10:G10,I10:N10)</f>
        <v>3208.7999999999997</v>
      </c>
      <c r="R10" s="533"/>
      <c r="S10" s="441" t="e">
        <f>P10+IF($B$2="mil",1,0.0254)*C10</f>
        <v>#REF!</v>
      </c>
      <c r="T10" s="441" t="e">
        <f>Q10+IF($B$2="mil",1,0.0254)*C10</f>
        <v>#REF!</v>
      </c>
      <c r="U10" s="533"/>
      <c r="V10" s="441" t="e">
        <f>MAX(V$5:W$5)+IF($B$2="mil",1,0.0254)*DDR2Specs!$B$2</f>
        <v>#REF!</v>
      </c>
      <c r="W10" s="441" t="e">
        <f>MIN(V$5:W$5)+IF($B$2="mil",1,0.0254)*DDR2Specs!$C$2</f>
        <v>#REF!</v>
      </c>
      <c r="X10" s="533"/>
      <c r="Y10" s="534" t="e">
        <f t="shared" si="0"/>
        <v>#REF!</v>
      </c>
      <c r="Z10" s="447" t="e">
        <f t="shared" si="3"/>
        <v>#REF!</v>
      </c>
      <c r="AA10" s="18"/>
      <c r="AB10" s="441" t="e">
        <f>MAX(AB$5:AC$5)+IF($B$2="mil",1,0.0254)*DDR2Specs!$E$2</f>
        <v>#REF!</v>
      </c>
      <c r="AC10" s="441" t="e">
        <f>MIN(AB$5:AC$5)+IF($B$2="mil",1,0.0254)*DDR2Specs!$F$2</f>
        <v>#REF!</v>
      </c>
      <c r="AD10" s="18"/>
      <c r="AE10" s="534" t="e">
        <f t="shared" si="4"/>
        <v>#REF!</v>
      </c>
      <c r="AF10" s="447" t="e">
        <f t="shared" si="5"/>
        <v>#REF!</v>
      </c>
      <c r="AG10" s="447" t="e">
        <f>IF((ABS($S10-$S9)&lt;=IF($B$2="mil",1,0.0254)*5),"Pass",ABS($S10-$S9))</f>
        <v>#REF!</v>
      </c>
      <c r="AH10" s="447" t="e">
        <f>IF((ABS($T10-$T9)&lt;=IF($B$2="mil",1,0.0254)*5),"Pass",ABS($T10-$T9))</f>
        <v>#REF!</v>
      </c>
      <c r="AI10" s="447" t="e">
        <f>IF($E10&lt;=IF($B$2="mil",1,0.0254)*50,"Pass",IF($B$2="mil",1,0.0254)*50-$E10)</f>
        <v>#REF!</v>
      </c>
      <c r="AJ10" s="447" t="e">
        <f t="shared" si="6"/>
        <v>#REF!</v>
      </c>
      <c r="AK10" s="447" t="e">
        <f>IF($H10&lt;=IF($B$2="mil",1,0.0254)*250,"Pass",IF($B$2="mil",1,0.0254)*250-$H10)</f>
        <v>#REF!</v>
      </c>
      <c r="AL10" s="447" t="e">
        <f ca="1">CheckLength(IF($B$2="mil",1,0.0254)*1125, IF($B$2="mil",1,0.0254)*125-J10, 0, I10,J10,0)</f>
        <v>#NAME?</v>
      </c>
      <c r="AM10" s="447" t="e">
        <f t="shared" si="7"/>
        <v>#REF!</v>
      </c>
      <c r="AN10" s="447" t="e">
        <f t="shared" si="8"/>
        <v>#REF!</v>
      </c>
      <c r="AO10" s="447" t="e">
        <f ca="1">CheckLength(IF($B$2="mil",1,0.0254)*1525, 125-L10, IF($B$2="mil",1,0.0254)*150-N10, M10,L10,N10)</f>
        <v>#NAME?</v>
      </c>
      <c r="AP10" s="447" t="e">
        <f ca="1">CheckLength2(IF($B$2="mil",1,0.0254)*1400,M10,N10,0)</f>
        <v>#NAME?</v>
      </c>
      <c r="AQ10" s="447" t="e">
        <f>IF(AND($P10&gt;=IF($B$2="mil",1,0.0254)*500, $P10&lt;=IF($B$2="mil",1,0.0254)*4000),"Pass",IF($B$2="mil",1,0.0254)*4000-$P10)</f>
        <v>#REF!</v>
      </c>
      <c r="AR10" s="447" t="e">
        <f>IF(AND($S10&gt;=IF($B$2="mil",1,0.0254)*500, $S10&lt;=IF($B$2="mil",1,0.0254)*4500),"Pass",IF($B$2="mil",1,0.0254)*4500-$S10)</f>
        <v>#REF!</v>
      </c>
      <c r="AS10" s="447" t="e">
        <f>IF(AND($Q10&gt;=IF($B$2="mil",1,0.0254)*500, $Q10&lt;=IF($B$2="mil",1,0.0254)*5500),"Pass",IF($B$2="mil",1,0.0254)*5500-$Q10)</f>
        <v>#REF!</v>
      </c>
      <c r="AT10" s="447" t="e">
        <f>IF(AND($T10&gt;=IF($B$2="mil",1,0.0254)*500, $T10&lt;=IF($B$2="mil",1,0.0254)*6000),"Pass",IF($B$2="mil",1,0.0254)*6000-$T10)</f>
        <v>#REF!</v>
      </c>
      <c r="AU10" s="18"/>
      <c r="AV10" s="2" t="e">
        <f t="shared" ca="1" si="9"/>
        <v>#REF!</v>
      </c>
      <c r="AW10" s="2"/>
    </row>
    <row r="11" spans="1:49" x14ac:dyDescent="0.2">
      <c r="A11" s="94" t="s">
        <v>297</v>
      </c>
      <c r="B11" s="95"/>
      <c r="C11" s="565"/>
      <c r="D11" s="8"/>
      <c r="E11" s="258"/>
      <c r="F11" s="258"/>
      <c r="G11" s="258"/>
      <c r="H11" s="258"/>
      <c r="I11" s="258"/>
      <c r="J11" s="262"/>
      <c r="K11" s="8"/>
      <c r="L11" s="262"/>
      <c r="M11" s="262"/>
      <c r="N11" s="262"/>
      <c r="O11" s="8"/>
      <c r="P11" s="7"/>
      <c r="Q11" s="7"/>
      <c r="R11" s="8"/>
      <c r="S11" s="42"/>
      <c r="T11" s="42"/>
      <c r="U11" s="8"/>
      <c r="V11" s="8"/>
      <c r="W11" s="8"/>
      <c r="X11" s="8"/>
      <c r="Y11" s="8"/>
      <c r="Z11" s="8"/>
      <c r="AA11" s="8"/>
      <c r="AB11" s="8"/>
      <c r="AC11" s="13"/>
      <c r="AD11" s="8"/>
      <c r="AE11" s="13"/>
      <c r="AF11" s="13"/>
      <c r="AG11" s="13"/>
      <c r="AH11" s="13"/>
      <c r="AI11" s="13"/>
      <c r="AJ11" s="13"/>
      <c r="AK11" s="13"/>
      <c r="AL11" s="8"/>
      <c r="AM11" s="8"/>
      <c r="AN11" s="8"/>
      <c r="AO11" s="8"/>
      <c r="AP11" s="8"/>
      <c r="AQ11" s="8"/>
      <c r="AR11" s="8"/>
      <c r="AS11" s="8"/>
      <c r="AT11" s="8"/>
      <c r="AU11" s="10"/>
      <c r="AV11" s="2"/>
      <c r="AW11" s="2"/>
    </row>
    <row r="12" spans="1:49" x14ac:dyDescent="0.2">
      <c r="A12" s="321" t="s">
        <v>72</v>
      </c>
      <c r="B12" s="108"/>
      <c r="C12" s="576"/>
      <c r="D12" s="44"/>
      <c r="E12" s="259"/>
      <c r="F12" s="259"/>
      <c r="G12" s="259"/>
      <c r="H12" s="259"/>
      <c r="I12" s="259"/>
      <c r="J12" s="263"/>
      <c r="K12" s="43"/>
      <c r="L12" s="263"/>
      <c r="M12" s="263"/>
      <c r="N12" s="263"/>
      <c r="O12" s="43"/>
      <c r="P12" s="67"/>
      <c r="Q12" s="67"/>
      <c r="R12" s="44"/>
      <c r="S12" s="54"/>
      <c r="T12" s="54"/>
      <c r="U12" s="485"/>
      <c r="V12" s="145"/>
      <c r="W12" s="486"/>
      <c r="X12" s="44"/>
      <c r="Y12" s="54"/>
      <c r="Z12" s="54"/>
      <c r="AA12" s="485" t="s">
        <v>275</v>
      </c>
      <c r="AB12" s="145" t="e">
        <f>MIN('DDR2 Clocks - 2L'!$R$5:$R$6)</f>
        <v>#REF!</v>
      </c>
      <c r="AC12" s="486" t="e">
        <f>MAX('DDR2 Clocks - 2L'!$R$5:$R$6)</f>
        <v>#REF!</v>
      </c>
      <c r="AD12" s="54"/>
      <c r="AE12" s="54"/>
      <c r="AF12" s="54"/>
      <c r="AG12" s="54"/>
      <c r="AH12" s="54"/>
      <c r="AI12" s="54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8"/>
      <c r="AV12" s="2"/>
      <c r="AW12" s="2"/>
    </row>
    <row r="13" spans="1:49" x14ac:dyDescent="0.2">
      <c r="A13" s="94" t="s">
        <v>298</v>
      </c>
      <c r="B13" s="326"/>
      <c r="C13" s="577"/>
      <c r="D13" s="51"/>
      <c r="E13" s="260"/>
      <c r="F13" s="260"/>
      <c r="G13" s="260"/>
      <c r="H13" s="260"/>
      <c r="I13" s="260"/>
      <c r="J13" s="264"/>
      <c r="K13" s="45"/>
      <c r="L13" s="264"/>
      <c r="M13" s="264"/>
      <c r="N13" s="264"/>
      <c r="O13" s="45"/>
      <c r="P13" s="45"/>
      <c r="Q13" s="45"/>
      <c r="R13" s="45"/>
      <c r="S13" s="45"/>
      <c r="T13" s="45"/>
      <c r="U13" s="45"/>
      <c r="V13" s="45"/>
      <c r="W13" s="55"/>
      <c r="X13" s="45"/>
      <c r="Y13" s="55"/>
      <c r="Z13" s="55"/>
      <c r="AA13" s="55"/>
      <c r="AB13" s="55"/>
      <c r="AC13" s="56"/>
      <c r="AD13" s="55"/>
      <c r="AE13" s="45"/>
      <c r="AF13" s="45"/>
      <c r="AG13" s="45"/>
      <c r="AH13" s="45"/>
      <c r="AI13" s="45"/>
      <c r="AJ13" s="55"/>
      <c r="AK13" s="55"/>
      <c r="AL13" s="55"/>
      <c r="AM13" s="55"/>
      <c r="AN13" s="55"/>
      <c r="AO13" s="55"/>
      <c r="AP13" s="55"/>
      <c r="AQ13" s="55"/>
      <c r="AR13" s="55"/>
      <c r="AS13" s="55"/>
      <c r="AT13" s="55"/>
      <c r="AU13" s="57"/>
      <c r="AV13" s="2"/>
      <c r="AW13" s="2"/>
    </row>
    <row r="14" spans="1:49" x14ac:dyDescent="0.2">
      <c r="A14" s="322" t="s">
        <v>142</v>
      </c>
      <c r="B14" s="435" t="s">
        <v>362</v>
      </c>
      <c r="C14" s="562">
        <v>606.61417322834643</v>
      </c>
      <c r="D14" s="16"/>
      <c r="E14" s="17">
        <v>29.7</v>
      </c>
      <c r="F14" s="17">
        <v>0</v>
      </c>
      <c r="G14" s="271">
        <v>2176.9299999999998</v>
      </c>
      <c r="H14" s="271">
        <v>78</v>
      </c>
      <c r="I14" s="17">
        <v>0</v>
      </c>
      <c r="J14" s="271">
        <v>54.57</v>
      </c>
      <c r="K14" s="17">
        <v>40</v>
      </c>
      <c r="L14" s="271">
        <v>77.83</v>
      </c>
      <c r="M14" s="271">
        <v>964.76</v>
      </c>
      <c r="N14" s="271">
        <v>139.79</v>
      </c>
      <c r="O14" s="58"/>
      <c r="P14" s="441">
        <f t="shared" si="1"/>
        <v>2284.6299999999997</v>
      </c>
      <c r="Q14" s="441">
        <f t="shared" si="2"/>
        <v>3483.58</v>
      </c>
      <c r="R14" s="533"/>
      <c r="S14" s="441" t="e">
        <f>P14+IF($B$2="mil",1,0.0254)*C14</f>
        <v>#REF!</v>
      </c>
      <c r="T14" s="441" t="e">
        <f>Q14+IF($B$2="mil",1,0.0254)*C14</f>
        <v>#REF!</v>
      </c>
      <c r="U14" s="533"/>
      <c r="V14" s="441" t="e">
        <f>MAX(V$5:W$5)+IF($B$2="mil",1,0.0254)*DDR2Specs!$B$2</f>
        <v>#REF!</v>
      </c>
      <c r="W14" s="441" t="e">
        <f>MIN(V$5:W$5)+IF($B$2="mil",1,0.0254)*DDR2Specs!$C$2</f>
        <v>#REF!</v>
      </c>
      <c r="X14" s="533"/>
      <c r="Y14" s="534" t="e">
        <f t="shared" si="0"/>
        <v>#REF!</v>
      </c>
      <c r="Z14" s="447" t="e">
        <f t="shared" si="3"/>
        <v>#REF!</v>
      </c>
      <c r="AA14" s="18"/>
      <c r="AB14" s="441" t="e">
        <f>MAX(AB$12:AC$12)+IF($B$2="mil",1,0.0254)*DDR2Specs!$E$2</f>
        <v>#REF!</v>
      </c>
      <c r="AC14" s="441" t="e">
        <f>MIN(AB$12:AC$12)+IF($B$2="mil",1,0.0254)*DDR2Specs!$F$2</f>
        <v>#REF!</v>
      </c>
      <c r="AD14" s="18"/>
      <c r="AE14" s="534" t="e">
        <f>IF($T14&lt;$AB14,$AB14-$T14,"Pass")</f>
        <v>#REF!</v>
      </c>
      <c r="AF14" s="447" t="e">
        <f t="shared" si="5"/>
        <v>#REF!</v>
      </c>
      <c r="AG14" s="447" t="e">
        <f>IF((ABS($S14-$S15)&lt;=IF($B$2="mil",1,0.0254)*5),"Pass",ABS($S14-$S15))</f>
        <v>#REF!</v>
      </c>
      <c r="AH14" s="447" t="e">
        <f>IF((ABS($T14-$T15)&lt;=IF($B$2="mil",1,0.0254)*5),"Pass",ABS($T14-$T15))</f>
        <v>#REF!</v>
      </c>
      <c r="AI14" s="447" t="e">
        <f>IF($E14&lt;=IF($B$2="mil",1,0.0254)*50,"Pass",IF($B$2="mil",1,0.0254)*50-$E14)</f>
        <v>#REF!</v>
      </c>
      <c r="AJ14" s="447" t="e">
        <f t="shared" si="6"/>
        <v>#REF!</v>
      </c>
      <c r="AK14" s="447" t="e">
        <f>IF($H14&lt;=IF($B$2="mil",1,0.0254)*250,"Pass",IF($B$2="mil",1,0.0254)*250-$H14)</f>
        <v>#REF!</v>
      </c>
      <c r="AL14" s="447" t="e">
        <f ca="1">CheckLength(IF($B$2="mil",1,0.0254)*1125, IF($B$2="mil",1,0.0254)*125-J14, 0, I14,J14,0)</f>
        <v>#NAME?</v>
      </c>
      <c r="AM14" s="447" t="e">
        <f t="shared" si="7"/>
        <v>#REF!</v>
      </c>
      <c r="AN14" s="447" t="e">
        <f t="shared" si="8"/>
        <v>#REF!</v>
      </c>
      <c r="AO14" s="447" t="e">
        <f ca="1">CheckLength(IF($B$2="mil",1,0.0254)*1525, 125-L14, IF($B$2="mil",1,0.0254)*150-N14, M14,L14,N14)</f>
        <v>#NAME?</v>
      </c>
      <c r="AP14" s="447" t="e">
        <f ca="1">CheckLength2(IF($B$2="mil",1,0.0254)*1400,M14,N14,0)</f>
        <v>#NAME?</v>
      </c>
      <c r="AQ14" s="447" t="e">
        <f>IF(AND($P14&gt;=IF($B$2="mil",1,0.0254)*500, $P14&lt;=IF($B$2="mil",1,0.0254)*4000),"Pass",IF($B$2="mil",1,0.0254)*4000-$P14)</f>
        <v>#REF!</v>
      </c>
      <c r="AR14" s="447" t="e">
        <f>IF(AND($S14&gt;=IF($B$2="mil",1,0.0254)*500, $S14&lt;=IF($B$2="mil",1,0.0254)*4500),"Pass",IF($B$2="mil",1,0.0254)*4500-$S14)</f>
        <v>#REF!</v>
      </c>
      <c r="AS14" s="447" t="e">
        <f>IF(AND($Q14&gt;=IF($B$2="mil",1,0.0254)*500, $Q14&lt;=IF($B$2="mil",1,0.0254)*5500),"Pass",IF($B$2="mil",1,0.0254)*5500-$Q14)</f>
        <v>#REF!</v>
      </c>
      <c r="AT14" s="447" t="e">
        <f>IF(AND($T14&gt;=IF($B$2="mil",1,0.0254)*500, $T14&lt;=IF($B$2="mil",1,0.0254)*6000),"Pass",IF($B$2="mil",1,0.0254)*6000-$T14)</f>
        <v>#REF!</v>
      </c>
      <c r="AU14" s="18"/>
      <c r="AV14" s="2" t="e">
        <f t="shared" ca="1" si="9"/>
        <v>#REF!</v>
      </c>
      <c r="AW14" s="2"/>
    </row>
    <row r="15" spans="1:49" x14ac:dyDescent="0.2">
      <c r="A15" s="322" t="s">
        <v>143</v>
      </c>
      <c r="B15" s="433" t="s">
        <v>505</v>
      </c>
      <c r="C15" s="562">
        <v>606.61417322834643</v>
      </c>
      <c r="D15" s="16"/>
      <c r="E15" s="17">
        <v>29.7</v>
      </c>
      <c r="F15" s="17">
        <v>0</v>
      </c>
      <c r="G15" s="271">
        <v>2183.96</v>
      </c>
      <c r="H15" s="271">
        <v>71.53</v>
      </c>
      <c r="I15" s="17">
        <v>0</v>
      </c>
      <c r="J15" s="271">
        <v>52.5</v>
      </c>
      <c r="K15" s="17">
        <v>40</v>
      </c>
      <c r="L15" s="271">
        <v>74.17</v>
      </c>
      <c r="M15" s="271">
        <v>962.27</v>
      </c>
      <c r="N15" s="271">
        <v>136.16</v>
      </c>
      <c r="O15" s="58"/>
      <c r="P15" s="441">
        <f t="shared" si="1"/>
        <v>2285.19</v>
      </c>
      <c r="Q15" s="441">
        <f t="shared" si="2"/>
        <v>3478.7599999999998</v>
      </c>
      <c r="R15" s="533"/>
      <c r="S15" s="441" t="e">
        <f>P15+IF($B$2="mil",1,0.0254)*C15</f>
        <v>#REF!</v>
      </c>
      <c r="T15" s="441" t="e">
        <f>Q15+IF($B$2="mil",1,0.0254)*C15</f>
        <v>#REF!</v>
      </c>
      <c r="U15" s="533"/>
      <c r="V15" s="441" t="e">
        <f>MAX(V$5:W$5)+IF($B$2="mil",1,0.0254)*DDR2Specs!$B$2</f>
        <v>#REF!</v>
      </c>
      <c r="W15" s="441" t="e">
        <f>MIN(V$5:W$5)+IF($B$2="mil",1,0.0254)*DDR2Specs!$C$2</f>
        <v>#REF!</v>
      </c>
      <c r="X15" s="533"/>
      <c r="Y15" s="534" t="e">
        <f t="shared" si="0"/>
        <v>#REF!</v>
      </c>
      <c r="Z15" s="447" t="e">
        <f t="shared" si="3"/>
        <v>#REF!</v>
      </c>
      <c r="AA15" s="18"/>
      <c r="AB15" s="441" t="e">
        <f>MAX(AB$12:AC$12)+IF($B$2="mil",1,0.0254)*DDR2Specs!$E$2</f>
        <v>#REF!</v>
      </c>
      <c r="AC15" s="441" t="e">
        <f>MIN(AB$12:AC$12)+IF($B$2="mil",1,0.0254)*DDR2Specs!$F$2</f>
        <v>#REF!</v>
      </c>
      <c r="AD15" s="18"/>
      <c r="AE15" s="534" t="e">
        <f t="shared" si="4"/>
        <v>#REF!</v>
      </c>
      <c r="AF15" s="447" t="e">
        <f t="shared" si="5"/>
        <v>#REF!</v>
      </c>
      <c r="AG15" s="447" t="e">
        <f>IF((ABS($S15-$S14)&lt;=IF($B$2="mil",1,0.0254)*5),"Pass",ABS($S15-$S14))</f>
        <v>#REF!</v>
      </c>
      <c r="AH15" s="447" t="e">
        <f>IF((ABS($T15-$T14)&lt;=IF($B$2="mil",1,0.0254)*5),"Pass",ABS($T15-$T14))</f>
        <v>#REF!</v>
      </c>
      <c r="AI15" s="447" t="e">
        <f>IF($E15&lt;=IF($B$2="mil",1,0.0254)*50,"Pass",IF($B$2="mil",1,0.0254)*50-$E15)</f>
        <v>#REF!</v>
      </c>
      <c r="AJ15" s="447" t="e">
        <f t="shared" si="6"/>
        <v>#REF!</v>
      </c>
      <c r="AK15" s="447" t="e">
        <f>IF($H15&lt;=IF($B$2="mil",1,0.0254)*250,"Pass",IF($B$2="mil",1,0.0254)*250-$H15)</f>
        <v>#REF!</v>
      </c>
      <c r="AL15" s="447" t="e">
        <f ca="1">CheckLength(IF($B$2="mil",1,0.0254)*1125, IF($B$2="mil",1,0.0254)*125-J15, 0, I15,J15,0)</f>
        <v>#NAME?</v>
      </c>
      <c r="AM15" s="447" t="e">
        <f t="shared" si="7"/>
        <v>#REF!</v>
      </c>
      <c r="AN15" s="447" t="e">
        <f t="shared" si="8"/>
        <v>#REF!</v>
      </c>
      <c r="AO15" s="447" t="e">
        <f ca="1">CheckLength(IF($B$2="mil",1,0.0254)*1525, 125-L15, IF($B$2="mil",1,0.0254)*150-N15, M15,L15,N15)</f>
        <v>#NAME?</v>
      </c>
      <c r="AP15" s="447" t="e">
        <f ca="1">CheckLength2(IF($B$2="mil",1,0.0254)*1400,M15,N15,0)</f>
        <v>#NAME?</v>
      </c>
      <c r="AQ15" s="447" t="e">
        <f>IF(AND($P15&gt;=IF($B$2="mil",1,0.0254)*500, $P15&lt;=IF($B$2="mil",1,0.0254)*4000),"Pass",IF($B$2="mil",1,0.0254)*4000-$P15)</f>
        <v>#REF!</v>
      </c>
      <c r="AR15" s="447" t="e">
        <f>IF(AND($S15&gt;=IF($B$2="mil",1,0.0254)*500, $S15&lt;=IF($B$2="mil",1,0.0254)*4500),"Pass",IF($B$2="mil",1,0.0254)*4500-$S15)</f>
        <v>#REF!</v>
      </c>
      <c r="AS15" s="447" t="e">
        <f>IF(AND($Q15&gt;=IF($B$2="mil",1,0.0254)*500, $Q15&lt;=IF($B$2="mil",1,0.0254)*5500),"Pass",IF($B$2="mil",1,0.0254)*5500-$Q15)</f>
        <v>#REF!</v>
      </c>
      <c r="AT15" s="447" t="e">
        <f>IF(AND($T15&gt;=IF($B$2="mil",1,0.0254)*500, $T15&lt;=IF($B$2="mil",1,0.0254)*6000),"Pass",IF($B$2="mil",1,0.0254)*6000-$T15)</f>
        <v>#REF!</v>
      </c>
      <c r="AU15" s="18"/>
      <c r="AV15" s="2" t="e">
        <f t="shared" ca="1" si="9"/>
        <v>#REF!</v>
      </c>
      <c r="AW15" s="2"/>
    </row>
    <row r="16" spans="1:49" x14ac:dyDescent="0.2">
      <c r="A16" s="322" t="s">
        <v>144</v>
      </c>
      <c r="B16" s="435" t="s">
        <v>499</v>
      </c>
      <c r="C16" s="562">
        <v>765.98425196850394</v>
      </c>
      <c r="D16" s="16"/>
      <c r="E16" s="17">
        <v>29.7</v>
      </c>
      <c r="F16" s="17">
        <v>0</v>
      </c>
      <c r="G16" s="271">
        <v>2207.41</v>
      </c>
      <c r="H16" s="271">
        <v>110</v>
      </c>
      <c r="I16" s="17">
        <v>0</v>
      </c>
      <c r="J16" s="271">
        <v>83.71</v>
      </c>
      <c r="K16" s="17">
        <v>40</v>
      </c>
      <c r="L16" s="271">
        <v>63</v>
      </c>
      <c r="M16" s="271">
        <v>961.57</v>
      </c>
      <c r="N16" s="271">
        <v>71.099999999999994</v>
      </c>
      <c r="O16" s="58"/>
      <c r="P16" s="441">
        <f t="shared" si="1"/>
        <v>2347.1099999999997</v>
      </c>
      <c r="Q16" s="441">
        <f t="shared" si="2"/>
        <v>3456.49</v>
      </c>
      <c r="R16" s="533"/>
      <c r="S16" s="441" t="e">
        <f>P16+IF($B$2="mil",1,0.0254)*C16</f>
        <v>#REF!</v>
      </c>
      <c r="T16" s="441" t="e">
        <f>Q16+IF($B$2="mil",1,0.0254)*C16</f>
        <v>#REF!</v>
      </c>
      <c r="U16" s="533"/>
      <c r="V16" s="441" t="e">
        <f>MAX(V$5:W$5)+IF($B$2="mil",1,0.0254)*DDR2Specs!$B$2</f>
        <v>#REF!</v>
      </c>
      <c r="W16" s="441" t="e">
        <f>MIN(V$5:W$5)+IF($B$2="mil",1,0.0254)*DDR2Specs!$C$2</f>
        <v>#REF!</v>
      </c>
      <c r="X16" s="533"/>
      <c r="Y16" s="534" t="e">
        <f t="shared" si="0"/>
        <v>#REF!</v>
      </c>
      <c r="Z16" s="447" t="e">
        <f t="shared" si="3"/>
        <v>#REF!</v>
      </c>
      <c r="AA16" s="18"/>
      <c r="AB16" s="441" t="e">
        <f>MAX(AB$12:AC$12)+IF($B$2="mil",1,0.0254)*DDR2Specs!$E$2</f>
        <v>#REF!</v>
      </c>
      <c r="AC16" s="441" t="e">
        <f>MIN(AB$12:AC$12)+IF($B$2="mil",1,0.0254)*DDR2Specs!$F$2</f>
        <v>#REF!</v>
      </c>
      <c r="AD16" s="18"/>
      <c r="AE16" s="534" t="e">
        <f t="shared" si="4"/>
        <v>#REF!</v>
      </c>
      <c r="AF16" s="447" t="e">
        <f t="shared" si="5"/>
        <v>#REF!</v>
      </c>
      <c r="AG16" s="447" t="e">
        <f>IF((ABS($S16-$S17)&lt;=IF($B$2="mil",1,0.0254)*5),"Pass",ABS($S16-$S17))</f>
        <v>#REF!</v>
      </c>
      <c r="AH16" s="447" t="e">
        <f>IF((ABS($T16-$T17)&lt;=IF($B$2="mil",1,0.0254)*5),"Pass",ABS($T16-$T17))</f>
        <v>#REF!</v>
      </c>
      <c r="AI16" s="447" t="e">
        <f>IF($E16&lt;=IF($B$2="mil",1,0.0254)*50,"Pass",IF($B$2="mil",1,0.0254)*50-$E16)</f>
        <v>#REF!</v>
      </c>
      <c r="AJ16" s="447" t="e">
        <f t="shared" si="6"/>
        <v>#REF!</v>
      </c>
      <c r="AK16" s="447" t="e">
        <f>IF($H16&lt;=IF($B$2="mil",1,0.0254)*250,"Pass",IF($B$2="mil",1,0.0254)*250-$H16)</f>
        <v>#REF!</v>
      </c>
      <c r="AL16" s="447" t="e">
        <f ca="1">CheckLength(IF($B$2="mil",1,0.0254)*1125, IF($B$2="mil",1,0.0254)*125-J16, 0, I16,J16,0)</f>
        <v>#NAME?</v>
      </c>
      <c r="AM16" s="447" t="e">
        <f t="shared" si="7"/>
        <v>#REF!</v>
      </c>
      <c r="AN16" s="447" t="e">
        <f t="shared" si="8"/>
        <v>#REF!</v>
      </c>
      <c r="AO16" s="447" t="e">
        <f ca="1">CheckLength(IF($B$2="mil",1,0.0254)*1525, 125-L16, IF($B$2="mil",1,0.0254)*150-N16, M16,L16,N16)</f>
        <v>#NAME?</v>
      </c>
      <c r="AP16" s="447" t="e">
        <f ca="1">CheckLength2(IF($B$2="mil",1,0.0254)*1400,M16,N16,0)</f>
        <v>#NAME?</v>
      </c>
      <c r="AQ16" s="447" t="e">
        <f>IF(AND($P16&gt;=IF($B$2="mil",1,0.0254)*500, $P16&lt;=IF($B$2="mil",1,0.0254)*4000),"Pass",IF($B$2="mil",1,0.0254)*4000-$P16)</f>
        <v>#REF!</v>
      </c>
      <c r="AR16" s="447" t="e">
        <f>IF(AND($S16&gt;=IF($B$2="mil",1,0.0254)*500, $S16&lt;=IF($B$2="mil",1,0.0254)*4500),"Pass",IF($B$2="mil",1,0.0254)*4500-$S16)</f>
        <v>#REF!</v>
      </c>
      <c r="AS16" s="447" t="e">
        <f>IF(AND($Q16&gt;=IF($B$2="mil",1,0.0254)*500, $Q16&lt;=IF($B$2="mil",1,0.0254)*5500),"Pass",IF($B$2="mil",1,0.0254)*5500-$Q16)</f>
        <v>#REF!</v>
      </c>
      <c r="AT16" s="447" t="e">
        <f>IF(AND($T16&gt;=IF($B$2="mil",1,0.0254)*500, $T16&lt;=IF($B$2="mil",1,0.0254)*6000),"Pass",IF($B$2="mil",1,0.0254)*6000-$T16)</f>
        <v>#REF!</v>
      </c>
      <c r="AU16" s="18"/>
      <c r="AV16" s="2" t="e">
        <f t="shared" ca="1" si="9"/>
        <v>#REF!</v>
      </c>
      <c r="AW16" s="2"/>
    </row>
    <row r="17" spans="1:49" x14ac:dyDescent="0.2">
      <c r="A17" s="322" t="s">
        <v>145</v>
      </c>
      <c r="B17" s="433" t="s">
        <v>506</v>
      </c>
      <c r="C17" s="562">
        <v>765.98425196850394</v>
      </c>
      <c r="D17" s="16"/>
      <c r="E17" s="17">
        <v>29.7</v>
      </c>
      <c r="F17" s="17">
        <v>0</v>
      </c>
      <c r="G17" s="271">
        <v>2211.3000000000002</v>
      </c>
      <c r="H17" s="271">
        <v>102.64</v>
      </c>
      <c r="I17" s="17">
        <v>0</v>
      </c>
      <c r="J17" s="271">
        <v>80.64</v>
      </c>
      <c r="K17" s="17">
        <v>40</v>
      </c>
      <c r="L17" s="271">
        <v>110</v>
      </c>
      <c r="M17" s="271">
        <v>950.9</v>
      </c>
      <c r="N17" s="271">
        <v>33.590000000000003</v>
      </c>
      <c r="O17" s="58"/>
      <c r="P17" s="441">
        <f t="shared" si="1"/>
        <v>2343.64</v>
      </c>
      <c r="Q17" s="441">
        <f t="shared" si="2"/>
        <v>3456.13</v>
      </c>
      <c r="R17" s="533"/>
      <c r="S17" s="441" t="e">
        <f>P17+IF($B$2="mil",1,0.0254)*C17</f>
        <v>#REF!</v>
      </c>
      <c r="T17" s="441" t="e">
        <f>Q17+IF($B$2="mil",1,0.0254)*C17</f>
        <v>#REF!</v>
      </c>
      <c r="U17" s="533"/>
      <c r="V17" s="441" t="e">
        <f>MAX(V$5:W$5)+IF($B$2="mil",1,0.0254)*DDR2Specs!$B$2</f>
        <v>#REF!</v>
      </c>
      <c r="W17" s="441" t="e">
        <f>MIN(V$5:W$5)+IF($B$2="mil",1,0.0254)*DDR2Specs!$C$2</f>
        <v>#REF!</v>
      </c>
      <c r="X17" s="533"/>
      <c r="Y17" s="534" t="e">
        <f t="shared" si="0"/>
        <v>#REF!</v>
      </c>
      <c r="Z17" s="447" t="e">
        <f t="shared" si="3"/>
        <v>#REF!</v>
      </c>
      <c r="AA17" s="18"/>
      <c r="AB17" s="441" t="e">
        <f>MAX(AB$12:AC$12)+IF($B$2="mil",1,0.0254)*DDR2Specs!$E$2</f>
        <v>#REF!</v>
      </c>
      <c r="AC17" s="441" t="e">
        <f>MIN(AB$12:AC$12)+IF($B$2="mil",1,0.0254)*DDR2Specs!$F$2</f>
        <v>#REF!</v>
      </c>
      <c r="AD17" s="18"/>
      <c r="AE17" s="534" t="e">
        <f t="shared" si="4"/>
        <v>#REF!</v>
      </c>
      <c r="AF17" s="447" t="e">
        <f t="shared" si="5"/>
        <v>#REF!</v>
      </c>
      <c r="AG17" s="447" t="e">
        <f>IF((ABS($S17-$S16)&lt;=IF($B$2="mil",1,0.0254)*5),"Pass",ABS($S17-$S16))</f>
        <v>#REF!</v>
      </c>
      <c r="AH17" s="447" t="e">
        <f>IF((ABS($T17-$T16)&lt;=IF($B$2="mil",1,0.0254)*5),"Pass",ABS($T17-$T16))</f>
        <v>#REF!</v>
      </c>
      <c r="AI17" s="447" t="e">
        <f>IF($E17&lt;=IF($B$2="mil",1,0.0254)*50,"Pass",IF($B$2="mil",1,0.0254)*50-$E17)</f>
        <v>#REF!</v>
      </c>
      <c r="AJ17" s="447" t="e">
        <f t="shared" si="6"/>
        <v>#REF!</v>
      </c>
      <c r="AK17" s="447" t="e">
        <f>IF($H17&lt;=IF($B$2="mil",1,0.0254)*250,"Pass",IF($B$2="mil",1,0.0254)*250-$H17)</f>
        <v>#REF!</v>
      </c>
      <c r="AL17" s="447" t="e">
        <f ca="1">CheckLength(IF($B$2="mil",1,0.0254)*1125, IF($B$2="mil",1,0.0254)*125-J17, 0, I17,J17,0)</f>
        <v>#NAME?</v>
      </c>
      <c r="AM17" s="447" t="e">
        <f t="shared" si="7"/>
        <v>#REF!</v>
      </c>
      <c r="AN17" s="447" t="e">
        <f t="shared" si="8"/>
        <v>#REF!</v>
      </c>
      <c r="AO17" s="447" t="e">
        <f ca="1">CheckLength(IF($B$2="mil",1,0.0254)*1525, 125-L17, IF($B$2="mil",1,0.0254)*150-N17, M17,L17,N17)</f>
        <v>#NAME?</v>
      </c>
      <c r="AP17" s="447" t="e">
        <f ca="1">CheckLength2(IF($B$2="mil",1,0.0254)*1400,M17,N17,0)</f>
        <v>#NAME?</v>
      </c>
      <c r="AQ17" s="447" t="e">
        <f>IF(AND($P17&gt;=IF($B$2="mil",1,0.0254)*500, $P17&lt;=IF($B$2="mil",1,0.0254)*4000),"Pass",IF($B$2="mil",1,0.0254)*4000-$P17)</f>
        <v>#REF!</v>
      </c>
      <c r="AR17" s="447" t="e">
        <f>IF(AND($S17&gt;=IF($B$2="mil",1,0.0254)*500, $S17&lt;=IF($B$2="mil",1,0.0254)*4500),"Pass",IF($B$2="mil",1,0.0254)*4500-$S17)</f>
        <v>#REF!</v>
      </c>
      <c r="AS17" s="447" t="e">
        <f>IF(AND($Q17&gt;=IF($B$2="mil",1,0.0254)*500, $Q17&lt;=IF($B$2="mil",1,0.0254)*5500),"Pass",IF($B$2="mil",1,0.0254)*5500-$Q17)</f>
        <v>#REF!</v>
      </c>
      <c r="AT17" s="447" t="e">
        <f>IF(AND($T17&gt;=IF($B$2="mil",1,0.0254)*500, $T17&lt;=IF($B$2="mil",1,0.0254)*6000),"Pass",IF($B$2="mil",1,0.0254)*6000-$T17)</f>
        <v>#REF!</v>
      </c>
      <c r="AU17" s="18"/>
      <c r="AV17" s="2" t="e">
        <f t="shared" ca="1" si="9"/>
        <v>#REF!</v>
      </c>
      <c r="AW17" s="2"/>
    </row>
    <row r="18" spans="1:49" x14ac:dyDescent="0.2">
      <c r="A18" s="94" t="s">
        <v>297</v>
      </c>
      <c r="B18" s="95"/>
      <c r="C18" s="565"/>
      <c r="D18" s="8"/>
      <c r="E18" s="258"/>
      <c r="F18" s="258"/>
      <c r="G18" s="258"/>
      <c r="H18" s="258"/>
      <c r="I18" s="258"/>
      <c r="J18" s="262"/>
      <c r="K18" s="8"/>
      <c r="L18" s="262"/>
      <c r="M18" s="262"/>
      <c r="N18" s="262"/>
      <c r="O18" s="8"/>
      <c r="P18" s="7"/>
      <c r="Q18" s="7"/>
      <c r="R18" s="8"/>
      <c r="S18" s="42"/>
      <c r="T18" s="42"/>
      <c r="U18" s="8"/>
      <c r="V18" s="8"/>
      <c r="W18" s="8"/>
      <c r="X18" s="8"/>
      <c r="Y18" s="8"/>
      <c r="Z18" s="8"/>
      <c r="AA18" s="8"/>
      <c r="AB18" s="8"/>
      <c r="AC18" s="13"/>
      <c r="AD18" s="8"/>
      <c r="AE18" s="13"/>
      <c r="AF18" s="13"/>
      <c r="AG18" s="13"/>
      <c r="AH18" s="13"/>
      <c r="AI18" s="13"/>
      <c r="AJ18" s="13"/>
      <c r="AK18" s="13"/>
      <c r="AL18" s="8"/>
      <c r="AM18" s="8"/>
      <c r="AN18" s="8"/>
      <c r="AO18" s="8"/>
      <c r="AP18" s="8"/>
      <c r="AQ18" s="8"/>
      <c r="AR18" s="8"/>
      <c r="AS18" s="8"/>
      <c r="AT18" s="8"/>
      <c r="AU18" s="10"/>
      <c r="AV18" s="2"/>
      <c r="AW18" s="2"/>
    </row>
    <row r="19" spans="1:49" x14ac:dyDescent="0.2">
      <c r="A19" s="321" t="s">
        <v>72</v>
      </c>
      <c r="B19" s="108"/>
      <c r="C19" s="576"/>
      <c r="D19" s="44"/>
      <c r="E19" s="259"/>
      <c r="F19" s="259"/>
      <c r="G19" s="259"/>
      <c r="H19" s="259"/>
      <c r="I19" s="259"/>
      <c r="J19" s="263"/>
      <c r="K19" s="43"/>
      <c r="L19" s="263"/>
      <c r="M19" s="263"/>
      <c r="N19" s="263"/>
      <c r="O19" s="43"/>
      <c r="P19" s="67"/>
      <c r="Q19" s="67"/>
      <c r="R19" s="44"/>
      <c r="S19" s="54"/>
      <c r="T19" s="54"/>
      <c r="U19" s="485"/>
      <c r="V19" s="145"/>
      <c r="W19" s="486"/>
      <c r="X19" s="44"/>
      <c r="Y19" s="54"/>
      <c r="Z19" s="54"/>
      <c r="AA19" s="485" t="s">
        <v>274</v>
      </c>
      <c r="AB19" s="145" t="e">
        <f>MIN('DDR2 Clocks - 2L'!$R$7:$R$8)</f>
        <v>#REF!</v>
      </c>
      <c r="AC19" s="486" t="e">
        <f>MAX('DDR2 Clocks - 2L'!$R$7:$R$8)</f>
        <v>#REF!</v>
      </c>
      <c r="AD19" s="54"/>
      <c r="AE19" s="54"/>
      <c r="AF19" s="54"/>
      <c r="AG19" s="54"/>
      <c r="AH19" s="54"/>
      <c r="AI19" s="54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8"/>
      <c r="AV19" s="2"/>
      <c r="AW19" s="2"/>
    </row>
    <row r="20" spans="1:49" x14ac:dyDescent="0.2">
      <c r="A20" s="94" t="s">
        <v>298</v>
      </c>
      <c r="B20" s="326"/>
      <c r="C20" s="577"/>
      <c r="D20" s="51"/>
      <c r="E20" s="260"/>
      <c r="F20" s="260"/>
      <c r="G20" s="260"/>
      <c r="H20" s="260"/>
      <c r="I20" s="260"/>
      <c r="J20" s="264"/>
      <c r="K20" s="45"/>
      <c r="L20" s="264"/>
      <c r="M20" s="264"/>
      <c r="N20" s="264"/>
      <c r="O20" s="45"/>
      <c r="P20" s="45"/>
      <c r="Q20" s="45"/>
      <c r="R20" s="45"/>
      <c r="S20" s="45"/>
      <c r="T20" s="45"/>
      <c r="U20" s="45"/>
      <c r="V20" s="45"/>
      <c r="W20" s="55"/>
      <c r="X20" s="45"/>
      <c r="Y20" s="55"/>
      <c r="Z20" s="55"/>
      <c r="AA20" s="55"/>
      <c r="AB20" s="55"/>
      <c r="AC20" s="56"/>
      <c r="AD20" s="55"/>
      <c r="AE20" s="45"/>
      <c r="AF20" s="45"/>
      <c r="AG20" s="45"/>
      <c r="AH20" s="45"/>
      <c r="AI20" s="4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7"/>
      <c r="AV20" s="2"/>
      <c r="AW20" s="2"/>
    </row>
    <row r="21" spans="1:49" x14ac:dyDescent="0.2">
      <c r="A21" s="322" t="s">
        <v>146</v>
      </c>
      <c r="B21" s="433" t="s">
        <v>500</v>
      </c>
      <c r="C21" s="562">
        <v>838.58267716535443</v>
      </c>
      <c r="D21" s="16"/>
      <c r="E21" s="17">
        <v>29.7</v>
      </c>
      <c r="F21" s="17">
        <v>0</v>
      </c>
      <c r="G21" s="271">
        <v>2077.58</v>
      </c>
      <c r="H21" s="271">
        <v>77</v>
      </c>
      <c r="I21" s="17">
        <v>0</v>
      </c>
      <c r="J21" s="271">
        <v>55.54</v>
      </c>
      <c r="K21" s="17">
        <v>40</v>
      </c>
      <c r="L21" s="271">
        <v>60</v>
      </c>
      <c r="M21" s="271">
        <v>1067.33</v>
      </c>
      <c r="N21" s="271">
        <v>145.44999999999999</v>
      </c>
      <c r="O21" s="58"/>
      <c r="P21" s="441">
        <f t="shared" si="1"/>
        <v>2184.2799999999997</v>
      </c>
      <c r="Q21" s="441">
        <f t="shared" si="2"/>
        <v>3475.5999999999995</v>
      </c>
      <c r="R21" s="533"/>
      <c r="S21" s="441" t="e">
        <f>P21+IF($B$2="mil",1,0.0254)*C21</f>
        <v>#REF!</v>
      </c>
      <c r="T21" s="441" t="e">
        <f>Q21+IF($B$2="mil",1,0.0254)*C21</f>
        <v>#REF!</v>
      </c>
      <c r="U21" s="533"/>
      <c r="V21" s="441" t="e">
        <f>MAX(V$5:W$5)+IF($B$2="mil",1,0.0254)*DDR2Specs!$B$2</f>
        <v>#REF!</v>
      </c>
      <c r="W21" s="441" t="e">
        <f>MIN(V$5:W$5)+IF($B$2="mil",1,0.0254)*DDR2Specs!$C$2</f>
        <v>#REF!</v>
      </c>
      <c r="X21" s="533"/>
      <c r="Y21" s="534" t="e">
        <f t="shared" si="0"/>
        <v>#REF!</v>
      </c>
      <c r="Z21" s="447" t="e">
        <f t="shared" si="3"/>
        <v>#REF!</v>
      </c>
      <c r="AA21" s="18"/>
      <c r="AB21" s="441" t="e">
        <f>MAX(AB$19:AC$19)+IF($B$2="mil",1,0.0254)*DDR2Specs!$E$2</f>
        <v>#REF!</v>
      </c>
      <c r="AC21" s="441" t="e">
        <f>MIN(AB$19:AC$19)+IF($B$2="mil",1,0.0254)*DDR2Specs!$F$2</f>
        <v>#REF!</v>
      </c>
      <c r="AD21" s="18"/>
      <c r="AE21" s="534" t="e">
        <f t="shared" si="4"/>
        <v>#REF!</v>
      </c>
      <c r="AF21" s="447" t="e">
        <f t="shared" si="5"/>
        <v>#REF!</v>
      </c>
      <c r="AG21" s="447" t="e">
        <f>IF((ABS($S21-$S22)&lt;=IF($B$2="mil",1,0.0254)*5),"Pass",ABS($S21-$S22))</f>
        <v>#REF!</v>
      </c>
      <c r="AH21" s="447" t="e">
        <f>IF((ABS($T21-$T22)&lt;=IF($B$2="mil",1,0.0254)*5),"Pass",ABS($T21-$T22))</f>
        <v>#REF!</v>
      </c>
      <c r="AI21" s="447" t="e">
        <f>IF($E21&lt;=IF($B$2="mil",1,0.0254)*50,"Pass",IF($B$2="mil",1,0.0254)*50-$E21)</f>
        <v>#REF!</v>
      </c>
      <c r="AJ21" s="447" t="e">
        <f t="shared" si="6"/>
        <v>#REF!</v>
      </c>
      <c r="AK21" s="447" t="e">
        <f>IF($H21&lt;=IF($B$2="mil",1,0.0254)*250,"Pass",IF($B$2="mil",1,0.0254)*250-$H21)</f>
        <v>#REF!</v>
      </c>
      <c r="AL21" s="447" t="e">
        <f ca="1">CheckLength(IF($B$2="mil",1,0.0254)*1125, IF($B$2="mil",1,0.0254)*125-J21, 0, I21,J21,0)</f>
        <v>#NAME?</v>
      </c>
      <c r="AM21" s="447" t="e">
        <f t="shared" si="7"/>
        <v>#REF!</v>
      </c>
      <c r="AN21" s="447" t="e">
        <f t="shared" si="8"/>
        <v>#REF!</v>
      </c>
      <c r="AO21" s="447" t="e">
        <f ca="1">CheckLength(IF($B$2="mil",1,0.0254)*1525, 125-L21, IF($B$2="mil",1,0.0254)*150-N21, M21,L21,N21)</f>
        <v>#NAME?</v>
      </c>
      <c r="AP21" s="447" t="e">
        <f ca="1">CheckLength2(IF($B$2="mil",1,0.0254)*1400,M21,N21,0)</f>
        <v>#NAME?</v>
      </c>
      <c r="AQ21" s="447" t="e">
        <f>IF(AND($P21&gt;=IF($B$2="mil",1,0.0254)*500, $P21&lt;=IF($B$2="mil",1,0.0254)*4000),"Pass",IF($B$2="mil",1,0.0254)*4000-$P21)</f>
        <v>#REF!</v>
      </c>
      <c r="AR21" s="447" t="e">
        <f>IF(AND($S21&gt;=IF($B$2="mil",1,0.0254)*500, $S21&lt;=IF($B$2="mil",1,0.0254)*4500),"Pass",IF($B$2="mil",1,0.0254)*4500-$S21)</f>
        <v>#REF!</v>
      </c>
      <c r="AS21" s="447" t="e">
        <f>IF(AND($Q21&gt;=IF($B$2="mil",1,0.0254)*500, $Q21&lt;=IF($B$2="mil",1,0.0254)*5500),"Pass",IF($B$2="mil",1,0.0254)*5500-$Q21)</f>
        <v>#REF!</v>
      </c>
      <c r="AT21" s="447" t="e">
        <f>IF(AND($T21&gt;=IF($B$2="mil",1,0.0254)*500, $T21&lt;=IF($B$2="mil",1,0.0254)*6000),"Pass",IF($B$2="mil",1,0.0254)*6000-$T21)</f>
        <v>#REF!</v>
      </c>
      <c r="AU21" s="18"/>
      <c r="AV21" s="2" t="e">
        <f t="shared" ca="1" si="9"/>
        <v>#REF!</v>
      </c>
      <c r="AW21" s="2"/>
    </row>
    <row r="22" spans="1:49" x14ac:dyDescent="0.2">
      <c r="A22" s="322" t="s">
        <v>147</v>
      </c>
      <c r="B22" s="433" t="s">
        <v>507</v>
      </c>
      <c r="C22" s="562">
        <v>838.58267716535443</v>
      </c>
      <c r="D22" s="16"/>
      <c r="E22" s="17">
        <v>29.7</v>
      </c>
      <c r="F22" s="17">
        <v>0</v>
      </c>
      <c r="G22" s="271">
        <v>2084.7399999999998</v>
      </c>
      <c r="H22" s="271">
        <v>68.650000000000006</v>
      </c>
      <c r="I22" s="17">
        <v>0</v>
      </c>
      <c r="J22" s="271">
        <v>58.86</v>
      </c>
      <c r="K22" s="17">
        <v>40</v>
      </c>
      <c r="L22" s="271">
        <v>95.15</v>
      </c>
      <c r="M22" s="271">
        <v>1044.5</v>
      </c>
      <c r="N22" s="271">
        <v>122.46</v>
      </c>
      <c r="O22" s="58"/>
      <c r="P22" s="441">
        <f xml:space="preserve"> E22+F22+G22+H22</f>
        <v>2183.0899999999997</v>
      </c>
      <c r="Q22" s="441">
        <f>SUM(E22:G22,I22:N22)</f>
        <v>3475.41</v>
      </c>
      <c r="R22" s="533"/>
      <c r="S22" s="441" t="e">
        <f>P22+IF($B$2="mil",1,0.0254)*C22</f>
        <v>#REF!</v>
      </c>
      <c r="T22" s="441" t="e">
        <f>Q22+IF($B$2="mil",1,0.0254)*C22</f>
        <v>#REF!</v>
      </c>
      <c r="U22" s="533"/>
      <c r="V22" s="441" t="e">
        <f>MAX(V$5:W$5)+IF($B$2="mil",1,0.0254)*DDR2Specs!$B$2</f>
        <v>#REF!</v>
      </c>
      <c r="W22" s="441" t="e">
        <f>MIN(V$5:W$5)+IF($B$2="mil",1,0.0254)*DDR2Specs!$C$2</f>
        <v>#REF!</v>
      </c>
      <c r="X22" s="533"/>
      <c r="Y22" s="534" t="e">
        <f t="shared" si="0"/>
        <v>#REF!</v>
      </c>
      <c r="Z22" s="447" t="e">
        <f t="shared" si="3"/>
        <v>#REF!</v>
      </c>
      <c r="AA22" s="18"/>
      <c r="AB22" s="441" t="e">
        <f>MAX(AB$19:AC$19)+IF($B$2="mil",1,0.0254)*DDR2Specs!$E$2</f>
        <v>#REF!</v>
      </c>
      <c r="AC22" s="441" t="e">
        <f>MIN(AB$19:AC$19)+IF($B$2="mil",1,0.0254)*DDR2Specs!$F$2</f>
        <v>#REF!</v>
      </c>
      <c r="AD22" s="18"/>
      <c r="AE22" s="534" t="e">
        <f t="shared" si="4"/>
        <v>#REF!</v>
      </c>
      <c r="AF22" s="447" t="e">
        <f t="shared" si="5"/>
        <v>#REF!</v>
      </c>
      <c r="AG22" s="447" t="e">
        <f>IF((ABS($S22-$S21)&lt;=IF($B$2="mil",1,0.0254)*5),"Pass",ABS($S22-$S21))</f>
        <v>#REF!</v>
      </c>
      <c r="AH22" s="447" t="e">
        <f>IF((ABS($T22-$T21)&lt;=IF($B$2="mil",1,0.0254)*5),"Pass",ABS($T22-$T21))</f>
        <v>#REF!</v>
      </c>
      <c r="AI22" s="447" t="e">
        <f>IF($E22&lt;=IF($B$2="mil",1,0.0254)*50,"Pass",IF($B$2="mil",1,0.0254)*50-$E22)</f>
        <v>#REF!</v>
      </c>
      <c r="AJ22" s="447" t="e">
        <f t="shared" si="6"/>
        <v>#REF!</v>
      </c>
      <c r="AK22" s="447" t="e">
        <f>IF($H22&lt;=IF($B$2="mil",1,0.0254)*250,"Pass",IF($B$2="mil",1,0.0254)*250-$H22)</f>
        <v>#REF!</v>
      </c>
      <c r="AL22" s="447" t="e">
        <f ca="1">CheckLength(IF($B$2="mil",1,0.0254)*1125, IF($B$2="mil",1,0.0254)*125-J22, 0, I22,J22,0)</f>
        <v>#NAME?</v>
      </c>
      <c r="AM22" s="447" t="e">
        <f t="shared" si="7"/>
        <v>#REF!</v>
      </c>
      <c r="AN22" s="447" t="e">
        <f t="shared" si="8"/>
        <v>#REF!</v>
      </c>
      <c r="AO22" s="447" t="e">
        <f ca="1">CheckLength(IF($B$2="mil",1,0.0254)*1525, 125-L22, IF($B$2="mil",1,0.0254)*150-N22, M22,L22,N22)</f>
        <v>#NAME?</v>
      </c>
      <c r="AP22" s="447" t="e">
        <f ca="1">CheckLength2(IF($B$2="mil",1,0.0254)*1400,M22,N22,0)</f>
        <v>#NAME?</v>
      </c>
      <c r="AQ22" s="447" t="e">
        <f>IF(AND($P22&gt;=IF($B$2="mil",1,0.0254)*500, $P22&lt;=IF($B$2="mil",1,0.0254)*4000),"Pass",IF($B$2="mil",1,0.0254)*4000-$P22)</f>
        <v>#REF!</v>
      </c>
      <c r="AR22" s="447" t="e">
        <f>IF(AND($S22&gt;=IF($B$2="mil",1,0.0254)*500, $S22&lt;=IF($B$2="mil",1,0.0254)*4500),"Pass",IF($B$2="mil",1,0.0254)*4500-$S22)</f>
        <v>#REF!</v>
      </c>
      <c r="AS22" s="447" t="e">
        <f>IF(AND($Q22&gt;=IF($B$2="mil",1,0.0254)*500, $Q22&lt;=IF($B$2="mil",1,0.0254)*5500),"Pass",IF($B$2="mil",1,0.0254)*5500-$Q22)</f>
        <v>#REF!</v>
      </c>
      <c r="AT22" s="447" t="e">
        <f>IF(AND($T22&gt;=IF($B$2="mil",1,0.0254)*500, $T22&lt;=IF($B$2="mil",1,0.0254)*6000),"Pass",IF($B$2="mil",1,0.0254)*6000-$T22)</f>
        <v>#REF!</v>
      </c>
      <c r="AU22" s="18"/>
      <c r="AV22" s="2" t="e">
        <f t="shared" ca="1" si="9"/>
        <v>#REF!</v>
      </c>
      <c r="AW22" s="2"/>
    </row>
    <row r="23" spans="1:49" x14ac:dyDescent="0.2">
      <c r="A23" s="322" t="s">
        <v>148</v>
      </c>
      <c r="B23" s="433" t="s">
        <v>501</v>
      </c>
      <c r="C23" s="562">
        <v>583.81889763779532</v>
      </c>
      <c r="D23" s="16"/>
      <c r="E23" s="17">
        <v>29.7</v>
      </c>
      <c r="F23" s="17">
        <v>0</v>
      </c>
      <c r="G23" s="271">
        <v>2201.17</v>
      </c>
      <c r="H23" s="271">
        <v>88.11</v>
      </c>
      <c r="I23" s="17">
        <v>0</v>
      </c>
      <c r="J23" s="271">
        <v>67.680000000000007</v>
      </c>
      <c r="K23" s="17">
        <v>40</v>
      </c>
      <c r="L23" s="271">
        <v>92.75</v>
      </c>
      <c r="M23" s="271">
        <v>1068.3</v>
      </c>
      <c r="N23" s="271">
        <v>72.650000000000006</v>
      </c>
      <c r="O23" s="58"/>
      <c r="P23" s="441">
        <f t="shared" si="1"/>
        <v>2318.98</v>
      </c>
      <c r="Q23" s="441">
        <f t="shared" si="2"/>
        <v>3572.2499999999995</v>
      </c>
      <c r="R23" s="533"/>
      <c r="S23" s="441" t="e">
        <f>P23+IF($B$2="mil",1,0.0254)*C23</f>
        <v>#REF!</v>
      </c>
      <c r="T23" s="441" t="e">
        <f>Q23+IF($B$2="mil",1,0.0254)*C23</f>
        <v>#REF!</v>
      </c>
      <c r="U23" s="533"/>
      <c r="V23" s="441" t="e">
        <f>MAX(V$5:W$5)+IF($B$2="mil",1,0.0254)*DDR2Specs!$B$2</f>
        <v>#REF!</v>
      </c>
      <c r="W23" s="441" t="e">
        <f>MIN(V$5:W$5)+IF($B$2="mil",1,0.0254)*DDR2Specs!$C$2</f>
        <v>#REF!</v>
      </c>
      <c r="X23" s="533"/>
      <c r="Y23" s="534" t="e">
        <f t="shared" si="0"/>
        <v>#REF!</v>
      </c>
      <c r="Z23" s="447" t="e">
        <f t="shared" si="3"/>
        <v>#REF!</v>
      </c>
      <c r="AA23" s="18"/>
      <c r="AB23" s="441" t="e">
        <f>MAX(AB$19:AC$19)+IF($B$2="mil",1,0.0254)*DDR2Specs!$E$2</f>
        <v>#REF!</v>
      </c>
      <c r="AC23" s="441" t="e">
        <f>MIN(AB$19:AC$19)+IF($B$2="mil",1,0.0254)*DDR2Specs!$F$2</f>
        <v>#REF!</v>
      </c>
      <c r="AD23" s="18"/>
      <c r="AE23" s="534" t="e">
        <f t="shared" si="4"/>
        <v>#REF!</v>
      </c>
      <c r="AF23" s="447" t="e">
        <f t="shared" si="5"/>
        <v>#REF!</v>
      </c>
      <c r="AG23" s="447" t="e">
        <f>IF((ABS($S23-$S24)&lt;=IF($B$2="mil",1,0.0254)*5),"Pass",ABS($S23-$S24))</f>
        <v>#REF!</v>
      </c>
      <c r="AH23" s="447" t="e">
        <f>IF((ABS($T23-$T24)&lt;=IF($B$2="mil",1,0.0254)*5),"Pass",ABS($T23-$T24))</f>
        <v>#REF!</v>
      </c>
      <c r="AI23" s="447" t="e">
        <f>IF($E23&lt;=IF($B$2="mil",1,0.0254)*50,"Pass",IF($B$2="mil",1,0.0254)*50-$E23)</f>
        <v>#REF!</v>
      </c>
      <c r="AJ23" s="447" t="e">
        <f t="shared" si="6"/>
        <v>#REF!</v>
      </c>
      <c r="AK23" s="447" t="e">
        <f>IF($H23&lt;=IF($B$2="mil",1,0.0254)*250,"Pass",IF($B$2="mil",1,0.0254)*250-$H23)</f>
        <v>#REF!</v>
      </c>
      <c r="AL23" s="447" t="e">
        <f ca="1">CheckLength(IF($B$2="mil",1,0.0254)*1125, IF($B$2="mil",1,0.0254)*125-J23, 0, I23,J23,0)</f>
        <v>#NAME?</v>
      </c>
      <c r="AM23" s="447" t="e">
        <f t="shared" si="7"/>
        <v>#REF!</v>
      </c>
      <c r="AN23" s="447" t="e">
        <f t="shared" si="8"/>
        <v>#REF!</v>
      </c>
      <c r="AO23" s="447" t="e">
        <f ca="1">CheckLength(IF($B$2="mil",1,0.0254)*1525, 125-L23, IF($B$2="mil",1,0.0254)*150-N23, M23,L23,N23)</f>
        <v>#NAME?</v>
      </c>
      <c r="AP23" s="447" t="e">
        <f ca="1">CheckLength2(IF($B$2="mil",1,0.0254)*1400,M23,N23,0)</f>
        <v>#NAME?</v>
      </c>
      <c r="AQ23" s="447" t="e">
        <f>IF(AND($P23&gt;=IF($B$2="mil",1,0.0254)*500, $P23&lt;=IF($B$2="mil",1,0.0254)*4000),"Pass",IF($B$2="mil",1,0.0254)*4000-$P23)</f>
        <v>#REF!</v>
      </c>
      <c r="AR23" s="447" t="e">
        <f>IF(AND($S23&gt;=IF($B$2="mil",1,0.0254)*500, $S23&lt;=IF($B$2="mil",1,0.0254)*4500),"Pass",IF($B$2="mil",1,0.0254)*4500-$S23)</f>
        <v>#REF!</v>
      </c>
      <c r="AS23" s="447" t="e">
        <f>IF(AND($Q23&gt;=IF($B$2="mil",1,0.0254)*500, $Q23&lt;=IF($B$2="mil",1,0.0254)*5500),"Pass",IF($B$2="mil",1,0.0254)*5500-$Q23)</f>
        <v>#REF!</v>
      </c>
      <c r="AT23" s="447" t="e">
        <f>IF(AND($T23&gt;=IF($B$2="mil",1,0.0254)*500, $T23&lt;=IF($B$2="mil",1,0.0254)*6000),"Pass",IF($B$2="mil",1,0.0254)*6000-$T23)</f>
        <v>#REF!</v>
      </c>
      <c r="AU23" s="18"/>
      <c r="AV23" s="2" t="e">
        <f t="shared" ca="1" si="9"/>
        <v>#REF!</v>
      </c>
      <c r="AW23" s="2"/>
    </row>
    <row r="24" spans="1:49" x14ac:dyDescent="0.2">
      <c r="A24" s="322" t="s">
        <v>149</v>
      </c>
      <c r="B24" s="433" t="s">
        <v>508</v>
      </c>
      <c r="C24" s="562">
        <v>583.81889763779532</v>
      </c>
      <c r="D24" s="16"/>
      <c r="E24" s="17">
        <v>29.7</v>
      </c>
      <c r="F24" s="17">
        <v>0</v>
      </c>
      <c r="G24" s="271">
        <v>2204.71</v>
      </c>
      <c r="H24" s="271">
        <v>85.59</v>
      </c>
      <c r="I24" s="17">
        <v>0</v>
      </c>
      <c r="J24" s="271">
        <v>66.03</v>
      </c>
      <c r="K24" s="17">
        <v>40</v>
      </c>
      <c r="L24" s="271">
        <v>125</v>
      </c>
      <c r="M24" s="271">
        <v>1070</v>
      </c>
      <c r="N24" s="271">
        <v>36.799999999999997</v>
      </c>
      <c r="O24" s="58"/>
      <c r="P24" s="441">
        <f t="shared" si="1"/>
        <v>2320</v>
      </c>
      <c r="Q24" s="441">
        <f t="shared" si="2"/>
        <v>3572.2400000000002</v>
      </c>
      <c r="R24" s="533"/>
      <c r="S24" s="441" t="e">
        <f>P24+IF($B$2="mil",1,0.0254)*C24</f>
        <v>#REF!</v>
      </c>
      <c r="T24" s="441" t="e">
        <f>Q24+IF($B$2="mil",1,0.0254)*C24</f>
        <v>#REF!</v>
      </c>
      <c r="U24" s="533"/>
      <c r="V24" s="441" t="e">
        <f>MAX(V$5:W$5)+IF($B$2="mil",1,0.0254)*DDR2Specs!$B$2</f>
        <v>#REF!</v>
      </c>
      <c r="W24" s="441" t="e">
        <f>MIN(V$5:W$5)+IF($B$2="mil",1,0.0254)*DDR2Specs!$C$2</f>
        <v>#REF!</v>
      </c>
      <c r="X24" s="533"/>
      <c r="Y24" s="534" t="e">
        <f t="shared" si="0"/>
        <v>#REF!</v>
      </c>
      <c r="Z24" s="447" t="e">
        <f t="shared" si="3"/>
        <v>#REF!</v>
      </c>
      <c r="AA24" s="18"/>
      <c r="AB24" s="441" t="e">
        <f>MAX(AB$19:AC$19)+IF($B$2="mil",1,0.0254)*DDR2Specs!$E$2</f>
        <v>#REF!</v>
      </c>
      <c r="AC24" s="441" t="e">
        <f>MIN(AB$19:AC$19)+IF($B$2="mil",1,0.0254)*DDR2Specs!$F$2</f>
        <v>#REF!</v>
      </c>
      <c r="AD24" s="18"/>
      <c r="AE24" s="534" t="e">
        <f t="shared" si="4"/>
        <v>#REF!</v>
      </c>
      <c r="AF24" s="447" t="e">
        <f t="shared" si="5"/>
        <v>#REF!</v>
      </c>
      <c r="AG24" s="447" t="e">
        <f>IF((ABS($S24-$S23)&lt;=IF($B$2="mil",1,0.0254)*5),"Pass",ABS($S24-$S23))</f>
        <v>#REF!</v>
      </c>
      <c r="AH24" s="447" t="e">
        <f>IF((ABS($T24-$T23)&lt;=IF($B$2="mil",1,0.0254)*5),"Pass",ABS($T24-$T23))</f>
        <v>#REF!</v>
      </c>
      <c r="AI24" s="447" t="e">
        <f>IF($E24&lt;=IF($B$2="mil",1,0.0254)*50,"Pass",IF($B$2="mil",1,0.0254)*50-$E24)</f>
        <v>#REF!</v>
      </c>
      <c r="AJ24" s="447" t="e">
        <f t="shared" si="6"/>
        <v>#REF!</v>
      </c>
      <c r="AK24" s="447" t="e">
        <f>IF($H24&lt;=IF($B$2="mil",1,0.0254)*250,"Pass",IF($B$2="mil",1,0.0254)*250-$H24)</f>
        <v>#REF!</v>
      </c>
      <c r="AL24" s="447" t="e">
        <f ca="1">CheckLength(IF($B$2="mil",1,0.0254)*1125, IF($B$2="mil",1,0.0254)*125-J24, 0, I24,J24,0)</f>
        <v>#NAME?</v>
      </c>
      <c r="AM24" s="447" t="e">
        <f t="shared" si="7"/>
        <v>#REF!</v>
      </c>
      <c r="AN24" s="447" t="e">
        <f t="shared" si="8"/>
        <v>#REF!</v>
      </c>
      <c r="AO24" s="447" t="e">
        <f ca="1">CheckLength(IF($B$2="mil",1,0.0254)*1525, 125-L24, IF($B$2="mil",1,0.0254)*150-N24, M24,L24,N24)</f>
        <v>#NAME?</v>
      </c>
      <c r="AP24" s="447" t="e">
        <f ca="1">CheckLength2(IF($B$2="mil",1,0.0254)*1400,M24,N24,0)</f>
        <v>#NAME?</v>
      </c>
      <c r="AQ24" s="447" t="e">
        <f>IF(AND($P24&gt;=IF($B$2="mil",1,0.0254)*500, $P24&lt;=IF($B$2="mil",1,0.0254)*4000),"Pass",IF($B$2="mil",1,0.0254)*4000-$P24)</f>
        <v>#REF!</v>
      </c>
      <c r="AR24" s="447" t="e">
        <f>IF(AND($S24&gt;=IF($B$2="mil",1,0.0254)*500, $S24&lt;=IF($B$2="mil",1,0.0254)*4500),"Pass",IF($B$2="mil",1,0.0254)*4500-$S24)</f>
        <v>#REF!</v>
      </c>
      <c r="AS24" s="447" t="e">
        <f>IF(AND($Q24&gt;=IF($B$2="mil",1,0.0254)*500, $Q24&lt;=IF($B$2="mil",1,0.0254)*5500),"Pass",IF($B$2="mil",1,0.0254)*5500-$Q24)</f>
        <v>#REF!</v>
      </c>
      <c r="AT24" s="447" t="e">
        <f>IF(AND($T24&gt;=IF($B$2="mil",1,0.0254)*500, $T24&lt;=IF($B$2="mil",1,0.0254)*6000),"Pass",IF($B$2="mil",1,0.0254)*6000-$T24)</f>
        <v>#REF!</v>
      </c>
      <c r="AU24" s="18"/>
      <c r="AV24" s="2" t="e">
        <f t="shared" ca="1" si="9"/>
        <v>#REF!</v>
      </c>
      <c r="AW24" s="2"/>
    </row>
    <row r="25" spans="1:49" x14ac:dyDescent="0.2">
      <c r="A25" s="94" t="s">
        <v>297</v>
      </c>
      <c r="B25" s="90"/>
      <c r="C25" s="565"/>
      <c r="D25" s="8"/>
      <c r="E25" s="258"/>
      <c r="F25" s="258"/>
      <c r="G25" s="258"/>
      <c r="H25" s="258"/>
      <c r="I25" s="258"/>
      <c r="J25" s="262"/>
      <c r="K25" s="8"/>
      <c r="L25" s="262"/>
      <c r="M25" s="262"/>
      <c r="N25" s="262"/>
      <c r="O25" s="8"/>
      <c r="P25" s="7"/>
      <c r="Q25" s="7"/>
      <c r="R25" s="8"/>
      <c r="S25" s="42"/>
      <c r="T25" s="42"/>
      <c r="U25" s="8"/>
      <c r="V25" s="8"/>
      <c r="W25" s="8"/>
      <c r="X25" s="8"/>
      <c r="Y25" s="8"/>
      <c r="Z25" s="8"/>
      <c r="AA25" s="8"/>
      <c r="AB25" s="8"/>
      <c r="AC25" s="13"/>
      <c r="AD25" s="8"/>
      <c r="AE25" s="13"/>
      <c r="AF25" s="13"/>
      <c r="AG25" s="13"/>
      <c r="AH25" s="13"/>
      <c r="AI25" s="13"/>
      <c r="AJ25" s="13"/>
      <c r="AK25" s="13"/>
      <c r="AL25" s="8"/>
      <c r="AM25" s="8"/>
      <c r="AN25" s="8"/>
      <c r="AO25" s="8"/>
      <c r="AP25" s="8"/>
      <c r="AQ25" s="8"/>
      <c r="AR25" s="8"/>
      <c r="AS25" s="8"/>
      <c r="AT25" s="8"/>
      <c r="AU25" s="10"/>
      <c r="AV25" s="2"/>
      <c r="AW25" s="2"/>
    </row>
    <row r="26" spans="1:49" x14ac:dyDescent="0.2">
      <c r="A26" s="321" t="s">
        <v>72</v>
      </c>
      <c r="B26" s="108"/>
      <c r="C26" s="576"/>
      <c r="D26" s="44"/>
      <c r="E26" s="259"/>
      <c r="F26" s="259"/>
      <c r="G26" s="259"/>
      <c r="H26" s="259"/>
      <c r="I26" s="259"/>
      <c r="J26" s="263"/>
      <c r="K26" s="43"/>
      <c r="L26" s="263"/>
      <c r="M26" s="263"/>
      <c r="N26" s="263"/>
      <c r="O26" s="43"/>
      <c r="P26" s="67"/>
      <c r="Q26" s="67"/>
      <c r="R26" s="44"/>
      <c r="S26" s="54"/>
      <c r="T26" s="54"/>
      <c r="U26" s="485"/>
      <c r="V26" s="145"/>
      <c r="W26" s="486"/>
      <c r="X26" s="44"/>
      <c r="Y26" s="54"/>
      <c r="Z26" s="54"/>
      <c r="AA26" s="485" t="s">
        <v>273</v>
      </c>
      <c r="AB26" s="145" t="e">
        <f>MIN('DDR2 Clocks - 2L'!$R$7:$R$8)</f>
        <v>#REF!</v>
      </c>
      <c r="AC26" s="486" t="e">
        <f>MAX('DDR2 Clocks - 2L'!$R$7:$R$8)</f>
        <v>#REF!</v>
      </c>
      <c r="AD26" s="54"/>
      <c r="AE26" s="54"/>
      <c r="AF26" s="54"/>
      <c r="AG26" s="54"/>
      <c r="AH26" s="54"/>
      <c r="AI26" s="54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8"/>
      <c r="AV26" s="2"/>
      <c r="AW26" s="2"/>
    </row>
    <row r="27" spans="1:49" x14ac:dyDescent="0.2">
      <c r="A27" s="94" t="s">
        <v>298</v>
      </c>
      <c r="B27" s="102"/>
      <c r="C27" s="577"/>
      <c r="D27" s="51"/>
      <c r="E27" s="260"/>
      <c r="F27" s="260"/>
      <c r="G27" s="260"/>
      <c r="H27" s="260"/>
      <c r="I27" s="260"/>
      <c r="J27" s="264"/>
      <c r="K27" s="45"/>
      <c r="L27" s="264"/>
      <c r="M27" s="264"/>
      <c r="N27" s="264"/>
      <c r="O27" s="45"/>
      <c r="P27" s="45"/>
      <c r="Q27" s="45"/>
      <c r="R27" s="45"/>
      <c r="S27" s="45"/>
      <c r="T27" s="45"/>
      <c r="U27" s="45"/>
      <c r="V27" s="45"/>
      <c r="W27" s="55"/>
      <c r="X27" s="45"/>
      <c r="Y27" s="55"/>
      <c r="Z27" s="55"/>
      <c r="AA27" s="55"/>
      <c r="AB27" s="55"/>
      <c r="AC27" s="56"/>
      <c r="AD27" s="55"/>
      <c r="AE27" s="45"/>
      <c r="AF27" s="45"/>
      <c r="AG27" s="45"/>
      <c r="AH27" s="45"/>
      <c r="AI27" s="45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7"/>
      <c r="AV27" s="2"/>
      <c r="AW27" s="2"/>
    </row>
    <row r="28" spans="1:49" x14ac:dyDescent="0.2">
      <c r="A28" s="322" t="s">
        <v>150</v>
      </c>
      <c r="B28" s="433" t="s">
        <v>502</v>
      </c>
      <c r="C28" s="562">
        <v>762.24409448818903</v>
      </c>
      <c r="D28" s="16"/>
      <c r="E28" s="17">
        <v>29.7</v>
      </c>
      <c r="F28" s="17">
        <v>0</v>
      </c>
      <c r="G28" s="271">
        <v>1963.14</v>
      </c>
      <c r="H28" s="271">
        <v>94.87</v>
      </c>
      <c r="I28" s="17">
        <v>0</v>
      </c>
      <c r="J28" s="271">
        <v>47.5</v>
      </c>
      <c r="K28" s="17">
        <v>40</v>
      </c>
      <c r="L28" s="271">
        <v>82.71</v>
      </c>
      <c r="M28" s="271">
        <v>1064.27</v>
      </c>
      <c r="N28" s="271">
        <v>140.94999999999999</v>
      </c>
      <c r="O28" s="58"/>
      <c r="P28" s="441">
        <f t="shared" si="1"/>
        <v>2087.71</v>
      </c>
      <c r="Q28" s="441">
        <f t="shared" si="2"/>
        <v>3368.27</v>
      </c>
      <c r="R28" s="533"/>
      <c r="S28" s="441" t="e">
        <f>P28+IF($B$2="mil",1,0.0254)*C28</f>
        <v>#REF!</v>
      </c>
      <c r="T28" s="441" t="e">
        <f>Q28+IF($B$2="mil",1,0.0254)*C28</f>
        <v>#REF!</v>
      </c>
      <c r="U28" s="533"/>
      <c r="V28" s="441" t="e">
        <f>MAX(V$5:W$5)+IF($B$2="mil",1,0.0254)*DDR2Specs!$B$2</f>
        <v>#REF!</v>
      </c>
      <c r="W28" s="441" t="e">
        <f>MIN(V$5:W$5)+IF($B$2="mil",1,0.0254)*DDR2Specs!$C$2</f>
        <v>#REF!</v>
      </c>
      <c r="X28" s="533"/>
      <c r="Y28" s="534" t="e">
        <f t="shared" si="0"/>
        <v>#REF!</v>
      </c>
      <c r="Z28" s="447" t="e">
        <f t="shared" si="3"/>
        <v>#REF!</v>
      </c>
      <c r="AA28" s="18"/>
      <c r="AB28" s="441" t="e">
        <f>MAX(AB$26:AC$26)+IF($B$2="mil",1,0.0254)*DDR2Specs!$E$2</f>
        <v>#REF!</v>
      </c>
      <c r="AC28" s="441" t="e">
        <f>MIN(AB$26:AC$26)+IF($B$2="mil",1,0.0254)*DDR2Specs!$F$2</f>
        <v>#REF!</v>
      </c>
      <c r="AD28" s="18"/>
      <c r="AE28" s="534" t="e">
        <f t="shared" si="4"/>
        <v>#REF!</v>
      </c>
      <c r="AF28" s="447" t="e">
        <f t="shared" si="5"/>
        <v>#REF!</v>
      </c>
      <c r="AG28" s="447" t="e">
        <f>IF((ABS($S28-$S29)&lt;=IF($B$2="mil",1,0.0254)*5),"Pass",ABS($S28-$S29))</f>
        <v>#REF!</v>
      </c>
      <c r="AH28" s="447" t="e">
        <f>IF((ABS($T28-$T29)&lt;=IF($B$2="mil",1,0.0254)*5),"Pass",ABS($T28-$T29))</f>
        <v>#REF!</v>
      </c>
      <c r="AI28" s="447" t="e">
        <f>IF($E28&lt;=IF($B$2="mil",1,0.0254)*50,"Pass",IF($B$2="mil",1,0.0254)*50-$E28)</f>
        <v>#REF!</v>
      </c>
      <c r="AJ28" s="447" t="e">
        <f t="shared" si="6"/>
        <v>#REF!</v>
      </c>
      <c r="AK28" s="447" t="e">
        <f>IF($H28&lt;=IF($B$2="mil",1,0.0254)*250,"Pass",IF($B$2="mil",1,0.0254)*250-$H28)</f>
        <v>#REF!</v>
      </c>
      <c r="AL28" s="447" t="e">
        <f ca="1">CheckLength(IF($B$2="mil",1,0.0254)*1125, IF($B$2="mil",1,0.0254)*125-J28, 0, I28,J28,0)</f>
        <v>#NAME?</v>
      </c>
      <c r="AM28" s="447" t="e">
        <f t="shared" si="7"/>
        <v>#REF!</v>
      </c>
      <c r="AN28" s="447" t="e">
        <f t="shared" si="8"/>
        <v>#REF!</v>
      </c>
      <c r="AO28" s="447" t="e">
        <f ca="1">CheckLength(IF($B$2="mil",1,0.0254)*1525, 125-L28, IF($B$2="mil",1,0.0254)*150-N28, M28,L28,N28)</f>
        <v>#NAME?</v>
      </c>
      <c r="AP28" s="447" t="e">
        <f ca="1">CheckLength2(IF($B$2="mil",1,0.0254)*1400,M28,N28,0)</f>
        <v>#NAME?</v>
      </c>
      <c r="AQ28" s="447" t="e">
        <f>IF(AND($P28&gt;=IF($B$2="mil",1,0.0254)*500, $P28&lt;=IF($B$2="mil",1,0.0254)*4000),"Pass",IF($B$2="mil",1,0.0254)*4000-$P28)</f>
        <v>#REF!</v>
      </c>
      <c r="AR28" s="447" t="e">
        <f>IF(AND($S28&gt;=IF($B$2="mil",1,0.0254)*500, $S28&lt;=IF($B$2="mil",1,0.0254)*4500),"Pass",IF($B$2="mil",1,0.0254)*4500-$S28)</f>
        <v>#REF!</v>
      </c>
      <c r="AS28" s="447" t="e">
        <f>IF(AND($Q28&gt;=IF($B$2="mil",1,0.0254)*500, $Q28&lt;=IF($B$2="mil",1,0.0254)*5500),"Pass",IF($B$2="mil",1,0.0254)*5500-$Q28)</f>
        <v>#REF!</v>
      </c>
      <c r="AT28" s="447" t="e">
        <f>IF(AND($T28&gt;=IF($B$2="mil",1,0.0254)*500, $T28&lt;=IF($B$2="mil",1,0.0254)*6000),"Pass",IF($B$2="mil",1,0.0254)*6000-$T28)</f>
        <v>#REF!</v>
      </c>
      <c r="AU28" s="18"/>
      <c r="AV28" s="2" t="e">
        <f t="shared" ca="1" si="9"/>
        <v>#REF!</v>
      </c>
      <c r="AW28" s="2"/>
    </row>
    <row r="29" spans="1:49" x14ac:dyDescent="0.2">
      <c r="A29" s="322" t="s">
        <v>151</v>
      </c>
      <c r="B29" s="433" t="s">
        <v>509</v>
      </c>
      <c r="C29" s="562">
        <v>762.24409448818903</v>
      </c>
      <c r="D29" s="16"/>
      <c r="E29" s="17">
        <v>29.7</v>
      </c>
      <c r="F29" s="17">
        <v>0</v>
      </c>
      <c r="G29" s="271">
        <v>1945.14</v>
      </c>
      <c r="H29" s="271">
        <v>111.35</v>
      </c>
      <c r="I29" s="17">
        <v>0</v>
      </c>
      <c r="J29" s="271">
        <v>99.07</v>
      </c>
      <c r="K29" s="17">
        <v>40</v>
      </c>
      <c r="L29" s="271">
        <v>90</v>
      </c>
      <c r="M29" s="271">
        <v>1047.45</v>
      </c>
      <c r="N29" s="271">
        <v>116.28</v>
      </c>
      <c r="O29" s="58"/>
      <c r="P29" s="441">
        <f t="shared" si="1"/>
        <v>2086.19</v>
      </c>
      <c r="Q29" s="441">
        <f t="shared" si="2"/>
        <v>3367.6400000000008</v>
      </c>
      <c r="R29" s="533"/>
      <c r="S29" s="441" t="e">
        <f>P29+IF($B$2="mil",1,0.0254)*C29</f>
        <v>#REF!</v>
      </c>
      <c r="T29" s="441" t="e">
        <f>Q29+IF($B$2="mil",1,0.0254)*C29</f>
        <v>#REF!</v>
      </c>
      <c r="U29" s="533"/>
      <c r="V29" s="441" t="e">
        <f>MAX(V$5:W$5)+IF($B$2="mil",1,0.0254)*DDR2Specs!$B$2</f>
        <v>#REF!</v>
      </c>
      <c r="W29" s="441" t="e">
        <f>MIN(V$5:W$5)+IF($B$2="mil",1,0.0254)*DDR2Specs!$C$2</f>
        <v>#REF!</v>
      </c>
      <c r="X29" s="533"/>
      <c r="Y29" s="534" t="e">
        <f t="shared" si="0"/>
        <v>#REF!</v>
      </c>
      <c r="Z29" s="447" t="e">
        <f t="shared" si="3"/>
        <v>#REF!</v>
      </c>
      <c r="AA29" s="18"/>
      <c r="AB29" s="441" t="e">
        <f>MAX(AB$26:AC$26)+IF($B$2="mil",1,0.0254)*DDR2Specs!$E$2</f>
        <v>#REF!</v>
      </c>
      <c r="AC29" s="441" t="e">
        <f>MIN(AB$26:AC$26)+IF($B$2="mil",1,0.0254)*DDR2Specs!$F$2</f>
        <v>#REF!</v>
      </c>
      <c r="AD29" s="18"/>
      <c r="AE29" s="534" t="e">
        <f t="shared" si="4"/>
        <v>#REF!</v>
      </c>
      <c r="AF29" s="447" t="e">
        <f t="shared" si="5"/>
        <v>#REF!</v>
      </c>
      <c r="AG29" s="447" t="e">
        <f>IF((ABS($S29-$S28)&lt;=IF($B$2="mil",1,0.0254)*5),"Pass",ABS($S29-$S28))</f>
        <v>#REF!</v>
      </c>
      <c r="AH29" s="447" t="e">
        <f>IF((ABS($T29-$T28)&lt;=IF($B$2="mil",1,0.0254)*5),"Pass",ABS($T29-$T28))</f>
        <v>#REF!</v>
      </c>
      <c r="AI29" s="447" t="e">
        <f>IF($E29&lt;=IF($B$2="mil",1,0.0254)*50,"Pass",IF($B$2="mil",1,0.0254)*50-$E29)</f>
        <v>#REF!</v>
      </c>
      <c r="AJ29" s="447" t="e">
        <f t="shared" si="6"/>
        <v>#REF!</v>
      </c>
      <c r="AK29" s="447" t="e">
        <f>IF($H29&lt;=IF($B$2="mil",1,0.0254)*250,"Pass",IF($B$2="mil",1,0.0254)*250-$H29)</f>
        <v>#REF!</v>
      </c>
      <c r="AL29" s="447" t="e">
        <f ca="1">CheckLength(IF($B$2="mil",1,0.0254)*1125, IF($B$2="mil",1,0.0254)*125-J29, 0, I29,J29,0)</f>
        <v>#NAME?</v>
      </c>
      <c r="AM29" s="447" t="e">
        <f t="shared" si="7"/>
        <v>#REF!</v>
      </c>
      <c r="AN29" s="447" t="e">
        <f t="shared" si="8"/>
        <v>#REF!</v>
      </c>
      <c r="AO29" s="447" t="e">
        <f ca="1">CheckLength(IF($B$2="mil",1,0.0254)*1525, 125-L29, IF($B$2="mil",1,0.0254)*150-N29, M29,L29,N29)</f>
        <v>#NAME?</v>
      </c>
      <c r="AP29" s="447" t="e">
        <f ca="1">CheckLength2(IF($B$2="mil",1,0.0254)*1400,M29,N29,0)</f>
        <v>#NAME?</v>
      </c>
      <c r="AQ29" s="447" t="e">
        <f>IF(AND($P29&gt;=IF($B$2="mil",1,0.0254)*500, $P29&lt;=IF($B$2="mil",1,0.0254)*4000),"Pass",IF($B$2="mil",1,0.0254)*4000-$P29)</f>
        <v>#REF!</v>
      </c>
      <c r="AR29" s="447" t="e">
        <f>IF(AND($S29&gt;=IF($B$2="mil",1,0.0254)*500, $S29&lt;=IF($B$2="mil",1,0.0254)*4500),"Pass",IF($B$2="mil",1,0.0254)*4500-$S29)</f>
        <v>#REF!</v>
      </c>
      <c r="AS29" s="447" t="e">
        <f>IF(AND($Q29&gt;=IF($B$2="mil",1,0.0254)*500, $Q29&lt;=IF($B$2="mil",1,0.0254)*5500),"Pass",IF($B$2="mil",1,0.0254)*5500-$Q29)</f>
        <v>#REF!</v>
      </c>
      <c r="AT29" s="447" t="e">
        <f>IF(AND($T29&gt;=IF($B$2="mil",1,0.0254)*500, $T29&lt;=IF($B$2="mil",1,0.0254)*6000),"Pass",IF($B$2="mil",1,0.0254)*6000-$T29)</f>
        <v>#REF!</v>
      </c>
      <c r="AU29" s="18"/>
      <c r="AV29" s="2" t="e">
        <f t="shared" ca="1" si="9"/>
        <v>#REF!</v>
      </c>
      <c r="AW29" s="2"/>
    </row>
    <row r="30" spans="1:49" x14ac:dyDescent="0.2">
      <c r="A30" s="322" t="s">
        <v>153</v>
      </c>
      <c r="B30" s="433" t="s">
        <v>503</v>
      </c>
      <c r="C30" s="562">
        <v>624.48818897637796</v>
      </c>
      <c r="D30" s="16"/>
      <c r="E30" s="17">
        <v>29.7</v>
      </c>
      <c r="F30" s="17">
        <v>0</v>
      </c>
      <c r="G30" s="271">
        <v>2099.61</v>
      </c>
      <c r="H30" s="271">
        <v>68.91</v>
      </c>
      <c r="I30" s="17">
        <v>0</v>
      </c>
      <c r="J30" s="271">
        <v>56.64</v>
      </c>
      <c r="K30" s="17">
        <v>40</v>
      </c>
      <c r="L30" s="271">
        <v>48.71</v>
      </c>
      <c r="M30" s="271">
        <v>991.29</v>
      </c>
      <c r="N30" s="271">
        <v>71.099999999999994</v>
      </c>
      <c r="O30" s="58"/>
      <c r="P30" s="441">
        <f t="shared" si="1"/>
        <v>2198.2199999999998</v>
      </c>
      <c r="Q30" s="441">
        <f t="shared" si="2"/>
        <v>3337.0499999999997</v>
      </c>
      <c r="R30" s="533"/>
      <c r="S30" s="441" t="e">
        <f>P30+IF($B$2="mil",1,0.0254)*C30</f>
        <v>#REF!</v>
      </c>
      <c r="T30" s="441" t="e">
        <f>Q30+IF($B$2="mil",1,0.0254)*C30</f>
        <v>#REF!</v>
      </c>
      <c r="U30" s="533"/>
      <c r="V30" s="441" t="e">
        <f>MAX(V$5:W$5)+IF($B$2="mil",1,0.0254)*DDR2Specs!$B$2</f>
        <v>#REF!</v>
      </c>
      <c r="W30" s="441" t="e">
        <f>MIN(V$5:W$5)+IF($B$2="mil",1,0.0254)*DDR2Specs!$C$2</f>
        <v>#REF!</v>
      </c>
      <c r="X30" s="533"/>
      <c r="Y30" s="534" t="e">
        <f t="shared" si="0"/>
        <v>#REF!</v>
      </c>
      <c r="Z30" s="447" t="e">
        <f t="shared" si="3"/>
        <v>#REF!</v>
      </c>
      <c r="AA30" s="18"/>
      <c r="AB30" s="441" t="e">
        <f>MAX(AB$26:AC$26)+IF($B$2="mil",1,0.0254)*DDR2Specs!$E$2</f>
        <v>#REF!</v>
      </c>
      <c r="AC30" s="441" t="e">
        <f>MIN(AB$26:AC$26)+IF($B$2="mil",1,0.0254)*DDR2Specs!$F$2</f>
        <v>#REF!</v>
      </c>
      <c r="AD30" s="18"/>
      <c r="AE30" s="534" t="e">
        <f t="shared" si="4"/>
        <v>#REF!</v>
      </c>
      <c r="AF30" s="447" t="e">
        <f t="shared" si="5"/>
        <v>#REF!</v>
      </c>
      <c r="AG30" s="447" t="e">
        <f>IF((ABS($S30-$S31)&lt;=IF($B$2="mil",1,0.0254)*5),"Pass",ABS($S30-$S31))</f>
        <v>#REF!</v>
      </c>
      <c r="AH30" s="447" t="e">
        <f>IF((ABS($T30-$T31)&lt;=IF($B$2="mil",1,0.0254)*5),"Pass",ABS($T30-$T31))</f>
        <v>#REF!</v>
      </c>
      <c r="AI30" s="447" t="e">
        <f>IF($E30&lt;=IF($B$2="mil",1,0.0254)*50,"Pass",IF($B$2="mil",1,0.0254)*50-$E30)</f>
        <v>#REF!</v>
      </c>
      <c r="AJ30" s="447" t="e">
        <f t="shared" si="6"/>
        <v>#REF!</v>
      </c>
      <c r="AK30" s="447" t="e">
        <f>IF($H30&lt;=IF($B$2="mil",1,0.0254)*250,"Pass",IF($B$2="mil",1,0.0254)*250-$H30)</f>
        <v>#REF!</v>
      </c>
      <c r="AL30" s="447" t="e">
        <f ca="1">CheckLength(IF($B$2="mil",1,0.0254)*1125, IF($B$2="mil",1,0.0254)*125-J30, 0, I30,J30,0)</f>
        <v>#NAME?</v>
      </c>
      <c r="AM30" s="447" t="e">
        <f t="shared" si="7"/>
        <v>#REF!</v>
      </c>
      <c r="AN30" s="447" t="e">
        <f t="shared" si="8"/>
        <v>#REF!</v>
      </c>
      <c r="AO30" s="447" t="e">
        <f ca="1">CheckLength(IF($B$2="mil",1,0.0254)*1525, 125-L30, IF($B$2="mil",1,0.0254)*150-N30, M30,L30,N30)</f>
        <v>#NAME?</v>
      </c>
      <c r="AP30" s="447" t="e">
        <f ca="1">CheckLength2(IF($B$2="mil",1,0.0254)*1400,M30,N30,0)</f>
        <v>#NAME?</v>
      </c>
      <c r="AQ30" s="447" t="e">
        <f>IF(AND($P30&gt;=IF($B$2="mil",1,0.0254)*500, $P30&lt;=IF($B$2="mil",1,0.0254)*4000),"Pass",IF($B$2="mil",1,0.0254)*4000-$P30)</f>
        <v>#REF!</v>
      </c>
      <c r="AR30" s="447" t="e">
        <f>IF(AND($S30&gt;=IF($B$2="mil",1,0.0254)*500, $S30&lt;=IF($B$2="mil",1,0.0254)*4500),"Pass",IF($B$2="mil",1,0.0254)*4500-$S30)</f>
        <v>#REF!</v>
      </c>
      <c r="AS30" s="447" t="e">
        <f>IF(AND($Q30&gt;=IF($B$2="mil",1,0.0254)*500, $Q30&lt;=IF($B$2="mil",1,0.0254)*5500),"Pass",IF($B$2="mil",1,0.0254)*5500-$Q30)</f>
        <v>#REF!</v>
      </c>
      <c r="AT30" s="447" t="e">
        <f>IF(AND($T30&gt;=IF($B$2="mil",1,0.0254)*500, $T30&lt;=IF($B$2="mil",1,0.0254)*6000),"Pass",IF($B$2="mil",1,0.0254)*6000-$T30)</f>
        <v>#REF!</v>
      </c>
      <c r="AU30" s="18"/>
      <c r="AV30" s="2" t="e">
        <f t="shared" ca="1" si="9"/>
        <v>#REF!</v>
      </c>
      <c r="AW30" s="2"/>
    </row>
    <row r="31" spans="1:49" x14ac:dyDescent="0.2">
      <c r="A31" s="322" t="s">
        <v>154</v>
      </c>
      <c r="B31" s="433" t="s">
        <v>510</v>
      </c>
      <c r="C31" s="562">
        <v>624.48818897637796</v>
      </c>
      <c r="D31" s="16"/>
      <c r="E31" s="17">
        <v>29.7</v>
      </c>
      <c r="F31" s="17">
        <v>0</v>
      </c>
      <c r="G31" s="271">
        <v>2098.02</v>
      </c>
      <c r="H31" s="271">
        <v>69.819999999999993</v>
      </c>
      <c r="I31" s="17">
        <v>0</v>
      </c>
      <c r="J31" s="271">
        <v>58.71</v>
      </c>
      <c r="K31" s="17">
        <v>40</v>
      </c>
      <c r="L31" s="271">
        <v>87.86</v>
      </c>
      <c r="M31" s="271">
        <v>987.79</v>
      </c>
      <c r="N31" s="271">
        <v>33.590000000000003</v>
      </c>
      <c r="O31" s="58"/>
      <c r="P31" s="441">
        <f t="shared" si="1"/>
        <v>2197.54</v>
      </c>
      <c r="Q31" s="441">
        <f t="shared" si="2"/>
        <v>3335.67</v>
      </c>
      <c r="R31" s="533"/>
      <c r="S31" s="441" t="e">
        <f>P31+IF($B$2="mil",1,0.0254)*C31</f>
        <v>#REF!</v>
      </c>
      <c r="T31" s="441" t="e">
        <f>Q31+IF($B$2="mil",1,0.0254)*C31</f>
        <v>#REF!</v>
      </c>
      <c r="U31" s="533"/>
      <c r="V31" s="441" t="e">
        <f>MAX(V$5:W$5)+IF($B$2="mil",1,0.0254)*DDR2Specs!$B$2</f>
        <v>#REF!</v>
      </c>
      <c r="W31" s="441" t="e">
        <f>MIN(V$5:W$5)+IF($B$2="mil",1,0.0254)*DDR2Specs!$C$2</f>
        <v>#REF!</v>
      </c>
      <c r="X31" s="533"/>
      <c r="Y31" s="534" t="e">
        <f t="shared" si="0"/>
        <v>#REF!</v>
      </c>
      <c r="Z31" s="447" t="e">
        <f t="shared" si="3"/>
        <v>#REF!</v>
      </c>
      <c r="AA31" s="18"/>
      <c r="AB31" s="441" t="e">
        <f>MAX(AB$26:AC$26)+IF($B$2="mil",1,0.0254)*DDR2Specs!$E$2</f>
        <v>#REF!</v>
      </c>
      <c r="AC31" s="441" t="e">
        <f>MIN(AB$26:AC$26)+IF($B$2="mil",1,0.0254)*DDR2Specs!$F$2</f>
        <v>#REF!</v>
      </c>
      <c r="AD31" s="18"/>
      <c r="AE31" s="534" t="e">
        <f t="shared" si="4"/>
        <v>#REF!</v>
      </c>
      <c r="AF31" s="447" t="e">
        <f t="shared" si="5"/>
        <v>#REF!</v>
      </c>
      <c r="AG31" s="447" t="e">
        <f>IF((ABS($S31-$S30)&lt;=IF($B$2="mil",1,0.0254)*5),"Pass",ABS($S31-$S30))</f>
        <v>#REF!</v>
      </c>
      <c r="AH31" s="447" t="e">
        <f>IF((ABS($T31-$T30)&lt;=IF($B$2="mil",1,0.0254)*5),"Pass",ABS($T31-$T30))</f>
        <v>#REF!</v>
      </c>
      <c r="AI31" s="447" t="e">
        <f>IF($E31&lt;=IF($B$2="mil",1,0.0254)*50,"Pass",IF($B$2="mil",1,0.0254)*50-$E31)</f>
        <v>#REF!</v>
      </c>
      <c r="AJ31" s="447" t="e">
        <f t="shared" si="6"/>
        <v>#REF!</v>
      </c>
      <c r="AK31" s="447" t="e">
        <f>IF($H31&lt;=IF($B$2="mil",1,0.0254)*250,"Pass",IF($B$2="mil",1,0.0254)*250-$H31)</f>
        <v>#REF!</v>
      </c>
      <c r="AL31" s="447" t="e">
        <f ca="1">CheckLength(IF($B$2="mil",1,0.0254)*1125, IF($B$2="mil",1,0.0254)*125-J31, 0, I31,J31,0)</f>
        <v>#NAME?</v>
      </c>
      <c r="AM31" s="447" t="e">
        <f t="shared" si="7"/>
        <v>#REF!</v>
      </c>
      <c r="AN31" s="447" t="e">
        <f t="shared" si="8"/>
        <v>#REF!</v>
      </c>
      <c r="AO31" s="447" t="e">
        <f ca="1">CheckLength(IF($B$2="mil",1,0.0254)*1525, 125-L31, IF($B$2="mil",1,0.0254)*150-N31, M31,L31,N31)</f>
        <v>#NAME?</v>
      </c>
      <c r="AP31" s="447" t="e">
        <f ca="1">CheckLength2(IF($B$2="mil",1,0.0254)*1400,M31,N31,0)</f>
        <v>#NAME?</v>
      </c>
      <c r="AQ31" s="447" t="e">
        <f>IF(AND($P31&gt;=IF($B$2="mil",1,0.0254)*500, $P31&lt;=IF($B$2="mil",1,0.0254)*4000),"Pass",IF($B$2="mil",1,0.0254)*4000-$P31)</f>
        <v>#REF!</v>
      </c>
      <c r="AR31" s="447" t="e">
        <f>IF(AND($S31&gt;=IF($B$2="mil",1,0.0254)*500, $S31&lt;=IF($B$2="mil",1,0.0254)*4500),"Pass",IF($B$2="mil",1,0.0254)*4500-$S31)</f>
        <v>#REF!</v>
      </c>
      <c r="AS31" s="447" t="e">
        <f>IF(AND($Q31&gt;=IF($B$2="mil",1,0.0254)*500, $Q31&lt;=IF($B$2="mil",1,0.0254)*5500),"Pass",IF($B$2="mil",1,0.0254)*5500-$Q31)</f>
        <v>#REF!</v>
      </c>
      <c r="AT31" s="447" t="e">
        <f>IF(AND($T31&gt;=IF($B$2="mil",1,0.0254)*500, $T31&lt;=IF($B$2="mil",1,0.0254)*6000),"Pass",IF($B$2="mil",1,0.0254)*6000-$T31)</f>
        <v>#REF!</v>
      </c>
      <c r="AU31" s="18"/>
      <c r="AV31" s="2" t="e">
        <f t="shared" ca="1" si="9"/>
        <v>#REF!</v>
      </c>
      <c r="AW31" s="2"/>
    </row>
    <row r="32" spans="1:49" x14ac:dyDescent="0.2">
      <c r="A32" s="59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2"/>
      <c r="AW32" s="2"/>
    </row>
    <row r="33" spans="1:58" ht="25.5" x14ac:dyDescent="0.35">
      <c r="A33" s="39" t="s">
        <v>57</v>
      </c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BF33" s="62"/>
    </row>
    <row r="34" spans="1:58" x14ac:dyDescent="0.2">
      <c r="B34" s="3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</row>
    <row r="35" spans="1:58" x14ac:dyDescent="0.2">
      <c r="E35" s="64"/>
      <c r="N35" s="4" t="s">
        <v>155</v>
      </c>
      <c r="AJ35" s="65"/>
      <c r="AT35" s="63"/>
      <c r="AZ35" s="65"/>
    </row>
    <row r="36" spans="1:58" x14ac:dyDescent="0.2">
      <c r="H36" s="2"/>
      <c r="I36" s="2"/>
      <c r="J36" s="2"/>
      <c r="K36" s="2"/>
      <c r="L36" s="2"/>
      <c r="M36" s="2"/>
      <c r="N36" s="2"/>
      <c r="O36" s="2"/>
    </row>
    <row r="37" spans="1:58" x14ac:dyDescent="0.2">
      <c r="AC37" s="3" t="s">
        <v>155</v>
      </c>
    </row>
    <row r="42" spans="1:58" x14ac:dyDescent="0.2">
      <c r="V42" s="2"/>
    </row>
    <row r="50" spans="10:49" x14ac:dyDescent="0.2">
      <c r="K50" s="4" t="s">
        <v>345</v>
      </c>
      <c r="AA50" s="3"/>
      <c r="AC50" s="4"/>
      <c r="AD50" s="3"/>
      <c r="AT50" s="4"/>
      <c r="AW50" s="2"/>
    </row>
    <row r="51" spans="10:49" x14ac:dyDescent="0.2">
      <c r="J51" s="4" t="s">
        <v>337</v>
      </c>
      <c r="K51" s="4" t="s">
        <v>293</v>
      </c>
      <c r="AA51" s="3"/>
      <c r="AC51" s="4"/>
      <c r="AD51" s="3"/>
      <c r="AT51" s="4"/>
      <c r="AW51" s="2"/>
    </row>
    <row r="52" spans="10:49" x14ac:dyDescent="0.2">
      <c r="J52" s="4" t="s">
        <v>338</v>
      </c>
      <c r="K52" s="4" t="s">
        <v>293</v>
      </c>
      <c r="AA52" s="3"/>
      <c r="AC52" s="4"/>
      <c r="AD52" s="3"/>
      <c r="AT52" s="4"/>
      <c r="AW52" s="2"/>
    </row>
    <row r="53" spans="10:49" x14ac:dyDescent="0.2">
      <c r="J53" s="4" t="s">
        <v>339</v>
      </c>
      <c r="K53" s="4" t="s">
        <v>294</v>
      </c>
      <c r="AA53" s="3"/>
      <c r="AC53" s="4"/>
      <c r="AD53" s="3"/>
      <c r="AT53" s="4"/>
      <c r="AW53" s="2"/>
    </row>
    <row r="54" spans="10:49" x14ac:dyDescent="0.2">
      <c r="J54" s="4" t="s">
        <v>440</v>
      </c>
      <c r="K54" s="4" t="s">
        <v>294</v>
      </c>
      <c r="AA54" s="3"/>
      <c r="AC54" s="4"/>
      <c r="AD54" s="3"/>
      <c r="AT54" s="4"/>
      <c r="AW54" s="2"/>
    </row>
    <row r="55" spans="10:49" x14ac:dyDescent="0.2">
      <c r="J55" s="4" t="s">
        <v>341</v>
      </c>
      <c r="K55" s="4" t="s">
        <v>296</v>
      </c>
      <c r="AA55" s="3"/>
      <c r="AC55" s="4"/>
      <c r="AD55" s="3"/>
      <c r="AT55" s="4"/>
      <c r="AW55" s="2"/>
    </row>
    <row r="56" spans="10:49" x14ac:dyDescent="0.2">
      <c r="J56" s="4" t="s">
        <v>342</v>
      </c>
      <c r="K56" s="4" t="s">
        <v>296</v>
      </c>
      <c r="AA56" s="3"/>
      <c r="AC56" s="4"/>
      <c r="AD56" s="3"/>
      <c r="AT56" s="4"/>
      <c r="AW56" s="2"/>
    </row>
    <row r="57" spans="10:49" x14ac:dyDescent="0.2">
      <c r="J57" s="4" t="s">
        <v>343</v>
      </c>
      <c r="K57" s="4" t="s">
        <v>295</v>
      </c>
      <c r="AA57" s="3"/>
      <c r="AC57" s="4"/>
      <c r="AD57" s="3"/>
      <c r="AT57" s="4"/>
      <c r="AW57" s="2"/>
    </row>
    <row r="58" spans="10:49" x14ac:dyDescent="0.2">
      <c r="J58" s="4" t="s">
        <v>344</v>
      </c>
      <c r="K58" s="4" t="s">
        <v>295</v>
      </c>
      <c r="AA58" s="3"/>
      <c r="AC58" s="4"/>
      <c r="AD58" s="3"/>
      <c r="AT58" s="4"/>
      <c r="AW58" s="2"/>
    </row>
  </sheetData>
  <protectedRanges>
    <protectedRange sqref="E28:O31 E21:O24 E7:O10 E14:O17" name="DDR2StrobesA"/>
  </protectedRanges>
  <mergeCells count="1">
    <mergeCell ref="A1:D1"/>
  </mergeCells>
  <phoneticPr fontId="4" type="noConversion"/>
  <conditionalFormatting sqref="A1:AU1">
    <cfRule type="expression" dxfId="80" priority="5" stopIfTrue="1">
      <formula>$E$1 = "Fail"</formula>
    </cfRule>
    <cfRule type="expression" dxfId="79" priority="6" stopIfTrue="1">
      <formula>$E$1 = "Pass"</formula>
    </cfRule>
  </conditionalFormatting>
  <conditionalFormatting sqref="S7:S10 S14:S17 S21:S24 S28:S31">
    <cfRule type="cellIs" dxfId="78" priority="9" stopIfTrue="1" operator="greaterThan">
      <formula>4750</formula>
    </cfRule>
    <cfRule type="cellIs" dxfId="77" priority="10" stopIfTrue="1" operator="lessThan">
      <formula>4750</formula>
    </cfRule>
  </conditionalFormatting>
  <conditionalFormatting sqref="T7:T10 T14:T17 T21:T24 T28:T31">
    <cfRule type="cellIs" dxfId="76" priority="7" stopIfTrue="1" operator="greaterThan">
      <formula>6250</formula>
    </cfRule>
    <cfRule type="cellIs" dxfId="75" priority="8" stopIfTrue="1" operator="lessThan">
      <formula>6250</formula>
    </cfRule>
  </conditionalFormatting>
  <conditionalFormatting sqref="Y7:Z10 AE7:AF10 Y14:Z17 AE14:AF17 Y21:Z24 AE21:AF24 Y28:Z31 AE28:AF31">
    <cfRule type="cellIs" priority="3" stopIfTrue="1" operator="equal">
      <formula>"Pass"</formula>
    </cfRule>
    <cfRule type="cellIs" dxfId="74" priority="4" stopIfTrue="1" operator="notEqual">
      <formula>"Pass"</formula>
    </cfRule>
  </conditionalFormatting>
  <conditionalFormatting sqref="AG7:AT10 AG14:AT17 AG21:AT24 AG28:AT31">
    <cfRule type="cellIs" dxfId="73" priority="1" stopIfTrue="1" operator="equal">
      <formula>"Pass"</formula>
    </cfRule>
    <cfRule type="cellIs" dxfId="72" priority="2" stopIfTrue="1" operator="notEqual">
      <formula>"Pass"</formula>
    </cfRule>
  </conditionalFormatting>
  <pageMargins left="0.75" right="0.75" top="1" bottom="1" header="0.5" footer="0.5"/>
  <pageSetup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Visio.Drawing.11" shapeId="6161" r:id="rId4">
          <objectPr defaultSize="0" autoPict="0" r:id="rId5">
            <anchor moveWithCells="1">
              <from>
                <xdr:col>0</xdr:col>
                <xdr:colOff>66675</xdr:colOff>
                <xdr:row>33</xdr:row>
                <xdr:rowOff>28575</xdr:rowOff>
              </from>
              <to>
                <xdr:col>11</xdr:col>
                <xdr:colOff>0</xdr:colOff>
                <xdr:row>49</xdr:row>
                <xdr:rowOff>9525</xdr:rowOff>
              </to>
            </anchor>
          </objectPr>
        </oleObject>
      </mc:Choice>
      <mc:Fallback>
        <oleObject progId="Visio.Drawing.11" shapeId="6161" r:id="rId4"/>
      </mc:Fallback>
    </mc:AlternateContent>
  </oleObjects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29"/>
  <dimension ref="A1:BK71"/>
  <sheetViews>
    <sheetView zoomScale="75" workbookViewId="0">
      <selection activeCell="AS27" sqref="AS27"/>
    </sheetView>
  </sheetViews>
  <sheetFormatPr defaultRowHeight="12.75" x14ac:dyDescent="0.2"/>
  <cols>
    <col min="1" max="1" width="15.5703125" customWidth="1"/>
    <col min="2" max="2" width="12.28515625" bestFit="1" customWidth="1"/>
    <col min="3" max="3" width="10" bestFit="1" customWidth="1"/>
    <col min="4" max="4" width="1" customWidth="1"/>
    <col min="5" max="5" width="11" bestFit="1" customWidth="1"/>
    <col min="6" max="6" width="10.5703125" bestFit="1" customWidth="1"/>
    <col min="7" max="7" width="11" bestFit="1" customWidth="1"/>
    <col min="8" max="8" width="10.85546875" hidden="1" customWidth="1"/>
    <col min="9" max="10" width="12.140625" bestFit="1" customWidth="1"/>
    <col min="11" max="11" width="10.85546875" bestFit="1" customWidth="1"/>
    <col min="12" max="13" width="12.28515625" bestFit="1" customWidth="1"/>
    <col min="14" max="14" width="13.5703125" customWidth="1"/>
    <col min="15" max="15" width="15" customWidth="1"/>
    <col min="16" max="16" width="14" customWidth="1"/>
    <col min="17" max="17" width="15.42578125" customWidth="1"/>
    <col min="18" max="18" width="1" customWidth="1"/>
    <col min="19" max="19" width="0.85546875" customWidth="1"/>
    <col min="20" max="21" width="21.28515625" customWidth="1"/>
    <col min="22" max="22" width="12.140625" bestFit="1" customWidth="1"/>
    <col min="23" max="23" width="10.85546875" bestFit="1" customWidth="1"/>
    <col min="24" max="24" width="1" customWidth="1"/>
    <col min="25" max="25" width="11.5703125" bestFit="1" customWidth="1"/>
    <col min="26" max="26" width="11" bestFit="1" customWidth="1"/>
    <col min="27" max="27" width="0.85546875" customWidth="1"/>
    <col min="28" max="29" width="21.28515625" customWidth="1"/>
    <col min="30" max="30" width="12.140625" bestFit="1" customWidth="1"/>
    <col min="31" max="31" width="13.140625" customWidth="1"/>
    <col min="32" max="32" width="1" customWidth="1"/>
    <col min="33" max="33" width="11.5703125" bestFit="1" customWidth="1"/>
    <col min="34" max="34" width="11" bestFit="1" customWidth="1"/>
    <col min="35" max="35" width="0.85546875" customWidth="1"/>
    <col min="36" max="36" width="13.85546875" bestFit="1" customWidth="1"/>
    <col min="37" max="37" width="13.42578125" bestFit="1" customWidth="1"/>
    <col min="38" max="38" width="11" bestFit="1" customWidth="1"/>
    <col min="39" max="39" width="11.7109375" bestFit="1" customWidth="1"/>
    <col min="40" max="40" width="11.7109375" hidden="1" customWidth="1"/>
    <col min="41" max="41" width="12.28515625" bestFit="1" customWidth="1"/>
    <col min="42" max="43" width="11.42578125" bestFit="1" customWidth="1"/>
    <col min="44" max="44" width="18" customWidth="1"/>
    <col min="45" max="46" width="11.7109375" customWidth="1"/>
    <col min="47" max="47" width="27.5703125" customWidth="1"/>
    <col min="48" max="48" width="16.85546875" customWidth="1"/>
    <col min="49" max="49" width="17" customWidth="1"/>
    <col min="50" max="50" width="18.28515625" bestFit="1" customWidth="1"/>
    <col min="51" max="51" width="16.7109375" customWidth="1"/>
    <col min="52" max="52" width="1" customWidth="1"/>
    <col min="53" max="53" width="16.85546875" customWidth="1"/>
    <col min="54" max="54" width="16.28515625" customWidth="1"/>
  </cols>
  <sheetData>
    <row r="1" spans="1:54" s="2" customFormat="1" ht="26.25" x14ac:dyDescent="0.2">
      <c r="A1" s="1001" t="s">
        <v>137</v>
      </c>
      <c r="B1" s="1003"/>
      <c r="C1" s="1003"/>
      <c r="D1" s="1003"/>
      <c r="E1" s="101" t="e">
        <f ca="1">IF(AND(BB7="Pass"),"Pass","Fail")</f>
        <v>#REF!</v>
      </c>
      <c r="F1" s="40"/>
      <c r="AZ1" s="50"/>
    </row>
    <row r="2" spans="1:54" ht="18" x14ac:dyDescent="0.2">
      <c r="A2" s="81" t="s">
        <v>58</v>
      </c>
      <c r="B2" s="327" t="e">
        <f>'DDR2 Clocks - 2L'!B2</f>
        <v>#REF!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</row>
    <row r="3" spans="1:54" s="41" customFormat="1" ht="87.75" customHeight="1" x14ac:dyDescent="0.2">
      <c r="A3" s="320" t="s">
        <v>494</v>
      </c>
      <c r="B3" s="86" t="s">
        <v>511</v>
      </c>
      <c r="C3" s="323" t="s">
        <v>512</v>
      </c>
      <c r="D3" s="88"/>
      <c r="E3" s="87" t="e">
        <f>"Escape       Length L0 ["&amp;$B$2&amp;"]"</f>
        <v>#REF!</v>
      </c>
      <c r="F3" s="87" t="e">
        <f>"Breakout Length L1  ["&amp;$B$2&amp;"]"</f>
        <v>#REF!</v>
      </c>
      <c r="G3" s="87" t="e">
        <f>"Main      Length L2  ["&amp;$B$2&amp;"]"</f>
        <v>#REF!</v>
      </c>
      <c r="H3" s="87" t="e">
        <f>"Breakin     Length S1  ["&amp;$B$2&amp;"]"</f>
        <v>#REF!</v>
      </c>
      <c r="I3" s="107" t="e">
        <f>"Stripline Route to Rs L3 ["&amp;$B$2&amp;"]"</f>
        <v>#REF!</v>
      </c>
      <c r="J3" s="107" t="e">
        <f>"Breakin to Rs L4 ["&amp;$B$2&amp;"]"</f>
        <v>#REF!</v>
      </c>
      <c r="K3" s="107" t="e">
        <f>"Rs length ["&amp;$B$2&amp;"]"</f>
        <v>#REF!</v>
      </c>
      <c r="L3" s="107" t="e">
        <f>"Breakout from Rs L5 ["&amp;$B$2&amp;"]"</f>
        <v>#REF!</v>
      </c>
      <c r="M3" s="107" t="e">
        <f>"Stripline between Rs and SDRAM L6 ["&amp;$B$2&amp;"]"</f>
        <v>#REF!</v>
      </c>
      <c r="N3" s="107" t="e">
        <f>"Stripline to SDRAM L7-1 ["&amp;$B$2&amp;"]"</f>
        <v>#REF!</v>
      </c>
      <c r="O3" s="107" t="e">
        <f>"Stripline to SDRAM L7-2 ["&amp;$B$2&amp;"]"</f>
        <v>#REF!</v>
      </c>
      <c r="P3" s="107" t="e">
        <f>"Breakin to SDRAM L8-1 ["&amp;$B$2&amp;"]"</f>
        <v>#REF!</v>
      </c>
      <c r="Q3" s="107" t="e">
        <f>"Breakin to SDRAM L8-2 ["&amp;$B$2&amp;"]"</f>
        <v>#REF!</v>
      </c>
      <c r="R3" s="107"/>
      <c r="S3" s="5"/>
      <c r="T3" s="532" t="e">
        <f>"Total MB Length to SDRAM (L0+L1+L2+L3+L4+Rs+L5+L6+L7-1+L8-1)  ["&amp;$B$2&amp;"]"</f>
        <v>#REF!</v>
      </c>
      <c r="U3" s="5" t="e">
        <f>"Total Pad-to-SDRAM Pin Length (P0+L0+L1+L2+L3+L4+Rs+L5+L6+L7-1+L8-1)  ["&amp;$B$2&amp;"]"</f>
        <v>#REF!</v>
      </c>
      <c r="V3" s="5" t="e">
        <f>"Target Min Length to SDRAM (U1-U4)
["&amp;$B$2&amp;"]"</f>
        <v>#REF!</v>
      </c>
      <c r="W3" s="5" t="e">
        <f>"Target Max Length to SDRAM (U1-U4) 
["&amp;$B$2&amp;"]"</f>
        <v>#REF!</v>
      </c>
      <c r="X3" s="5"/>
      <c r="Y3" s="5" t="e">
        <f>"Length to SDRAM (U1-U4) Routed Too Short  ["&amp;$B$2&amp;"]"</f>
        <v>#REF!</v>
      </c>
      <c r="Z3" s="5" t="e">
        <f>"Length to SDRAM (U1-U4) Routed Too Long  ["&amp;$B$2&amp;"]"</f>
        <v>#REF!</v>
      </c>
      <c r="AA3" s="5"/>
      <c r="AB3" s="532" t="e">
        <f>"Total MB Length to SDRAM (L0+L1+L2+L3+L4+Rs+L5+L6+L7-2+L8-2)  ["&amp;$B$2&amp;"]"</f>
        <v>#REF!</v>
      </c>
      <c r="AC3" s="5" t="e">
        <f>"Total Pad-to-SDRAM Pin Length (P0+L0+L1+L2+L3+L4+Rs+L5+L6+L7-2+L8-2)  ["&amp;$B$2&amp;"]"</f>
        <v>#REF!</v>
      </c>
      <c r="AD3" s="5" t="e">
        <f>"Target Min Length to SDRAM (U5-U8)
["&amp;$B$2&amp;"]"</f>
        <v>#REF!</v>
      </c>
      <c r="AE3" s="5" t="e">
        <f>"Target Max Length to SDRAM (U5-U8) 
["&amp;$B$2&amp;"]"</f>
        <v>#REF!</v>
      </c>
      <c r="AF3" s="5"/>
      <c r="AG3" s="5" t="e">
        <f>"Length to SDRAM (U5-U8) Routed Too Short  ["&amp;$B$2&amp;"]"</f>
        <v>#REF!</v>
      </c>
      <c r="AH3" s="5" t="e">
        <f>"Length to SDRAM (U5-U8) Routed Too Long  ["&amp;$B$2&amp;"]"</f>
        <v>#REF!</v>
      </c>
      <c r="AI3" s="5"/>
      <c r="AJ3" s="5" t="e">
        <f>"DQS-DQS# SDRAM (U1-U4) Length Test
(&lt;="&amp;IF($B$2="mil",1,0.0254)*5&amp;$B$2&amp;")"</f>
        <v>#REF!</v>
      </c>
      <c r="AK3" s="5" t="e">
        <f>"DQS-DQS# SDRAM (U5-U8) Length Test
(&lt;="&amp;IF($B$2="mil",1,0.0254)*10&amp;$B$2&amp;")"</f>
        <v>#REF!</v>
      </c>
      <c r="AL3" s="5" t="e">
        <f>"L0 Length Test (&lt;="&amp;IF($B$2="mil",1,0.0254)*50&amp;$B$2&amp;")"</f>
        <v>#REF!</v>
      </c>
      <c r="AM3" s="5" t="e">
        <f>"L1 Length Test (&lt;="&amp;IF($B$2="mil",1,0.0254)*500&amp;$B$2&amp;")"</f>
        <v>#REF!</v>
      </c>
      <c r="AN3" s="5" t="e">
        <f>"S1 Length test (&lt;="&amp;IF($B$2="mil",1,0.0254)*0&amp;$B$2&amp;")"</f>
        <v>#REF!</v>
      </c>
      <c r="AO3" s="5" t="e">
        <f>"L2 Length Test (&lt;="&amp;IF($B$2="mil",1,0.0254)*2000&amp;$B$2&amp;" or L2 + L3 &lt;= "&amp;IF($B$2="mil",1,0.0254)*2750&amp;$B$2&amp;")"</f>
        <v>#REF!</v>
      </c>
      <c r="AP3" s="5" t="e">
        <f>"L4 Length Test (&lt;="&amp;IF($B$2="mil",1,0.0254)*125&amp;$B$2&amp;")"</f>
        <v>#REF!</v>
      </c>
      <c r="AQ3" s="5" t="e">
        <f>"L5 Length Test (&lt;="&amp;IF($B$2="mil",1,0.0254)*125&amp;$B$2&amp;")"</f>
        <v>#REF!</v>
      </c>
      <c r="AR3" s="5" t="e">
        <f>"L6 Length Test (&lt;="&amp;IF($B$2="mil",1,0.0254)*1200&amp;$B$2&amp;" or L5+L6 &lt;="&amp;IF($B$2="mil",1,0.0254)*1350&amp;$B$2&amp;")"</f>
        <v>#REF!</v>
      </c>
      <c r="AS3" s="5" t="e">
        <f>"L7-1 Length Test (&lt;="&amp;IF($B$2="mil",1,0.0254)*650&amp;$B$2&amp;")"</f>
        <v>#REF!</v>
      </c>
      <c r="AT3" s="5" t="e">
        <f>"L7-2 Length Test (&lt;="&amp;IF($B$2="mil",1,0.0254)*650&amp;$B$2&amp;")"</f>
        <v>#REF!</v>
      </c>
      <c r="AU3" s="5" t="e">
        <f>"L7 Matching Test (Maximum L7 - Minimum L7 &lt;="&amp;IF($B$2="mil",1,0.0254)*50&amp;IF($B$2="mil","mil","mm")&amp;")"</f>
        <v>#REF!</v>
      </c>
      <c r="AV3" s="5" t="e">
        <f>"L8-1 Length Test (&lt;="&amp;IF($B$2="mil",1,0.0254)*150&amp;$B$2&amp;") or (L7-1+L8-1 &lt;= "&amp;IF($B$2="mil",1,0.0254)*800&amp;$B$2&amp;")"</f>
        <v>#REF!</v>
      </c>
      <c r="AW3" s="5" t="e">
        <f>"L8-2 Length Test (&lt;="&amp;IF($B$2="mil",1,0.0254)*150&amp;$B$2&amp;") or (L7-2+L8-2 &lt;= "&amp;IF($B$2="mil",1,0.0254)*800&amp;$B$2&amp;")"</f>
        <v>#REF!</v>
      </c>
      <c r="AX3" s="5" t="e">
        <f>"Total MB Length to SDRAM (L0+L1+L2+L3+L4+Rs+L5+L6+L7+L8) Test
 "&amp;IF($B$2="mil","(500-5500mil)","(12.7-114.3mm)")</f>
        <v>#REF!</v>
      </c>
      <c r="AY3" s="5" t="e">
        <f>"Total Length to SDRAM (P0+L0+L1+L2+L3+L4+Rs+L5+L6+L7+L8) Test
 (&lt;="&amp; IF($B$2="mil","6000mil","127mm")&amp;")"</f>
        <v>#REF!</v>
      </c>
      <c r="AZ3" s="5"/>
    </row>
    <row r="4" spans="1:54" s="2" customFormat="1" x14ac:dyDescent="0.2">
      <c r="A4" s="94" t="s">
        <v>297</v>
      </c>
      <c r="B4" s="325"/>
      <c r="C4" s="90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7"/>
      <c r="U4" s="42"/>
      <c r="V4" s="8"/>
      <c r="W4" s="13"/>
      <c r="X4" s="8"/>
      <c r="Y4" s="13"/>
      <c r="Z4" s="13"/>
      <c r="AA4" s="8"/>
      <c r="AB4" s="7"/>
      <c r="AC4" s="42"/>
      <c r="AD4" s="8"/>
      <c r="AE4" s="13"/>
      <c r="AF4" s="8"/>
      <c r="AG4" s="13"/>
      <c r="AH4" s="13"/>
      <c r="AI4" s="8"/>
      <c r="AJ4" s="13"/>
      <c r="AK4" s="13"/>
      <c r="AL4" s="13"/>
      <c r="AM4" s="13"/>
      <c r="AN4" s="13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10"/>
    </row>
    <row r="5" spans="1:54" s="2" customFormat="1" x14ac:dyDescent="0.2">
      <c r="A5" s="321" t="s">
        <v>72</v>
      </c>
      <c r="B5" s="108"/>
      <c r="C5" s="324"/>
      <c r="D5" s="44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85"/>
      <c r="T5" s="67"/>
      <c r="U5" s="485" t="s">
        <v>272</v>
      </c>
      <c r="V5" s="487" t="e">
        <f>MIN('DDR2 Clocks - 4L'!$O$5:$O$6)</f>
        <v>#REF!</v>
      </c>
      <c r="W5" s="486" t="e">
        <f>MAX('DDR2 Clocks - 4L'!$O$5:$O$6)</f>
        <v>#REF!</v>
      </c>
      <c r="X5" s="54"/>
      <c r="Y5" s="54"/>
      <c r="Z5" s="54"/>
      <c r="AA5" s="485"/>
      <c r="AB5" s="67"/>
      <c r="AC5" s="485" t="s">
        <v>332</v>
      </c>
      <c r="AD5" s="487" t="e">
        <f>MIN('DDR2 Clocks - 4L'!$O$7:$O$8)</f>
        <v>#REF!</v>
      </c>
      <c r="AE5" s="486" t="e">
        <f>MAX('DDR2 Clocks - 4L'!$O$7:$O$8)</f>
        <v>#REF!</v>
      </c>
      <c r="AF5" s="54"/>
      <c r="AG5" s="54"/>
      <c r="AH5" s="54"/>
      <c r="AI5" s="485"/>
      <c r="AJ5" s="54"/>
      <c r="AK5" s="54"/>
      <c r="AL5" s="54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8"/>
    </row>
    <row r="6" spans="1:54" s="2" customFormat="1" x14ac:dyDescent="0.2">
      <c r="A6" s="94" t="s">
        <v>298</v>
      </c>
      <c r="B6" s="326"/>
      <c r="C6" s="104"/>
      <c r="D6" s="51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55"/>
      <c r="T6" s="45"/>
      <c r="U6" s="45"/>
      <c r="V6" s="55"/>
      <c r="W6" s="56"/>
      <c r="X6" s="55"/>
      <c r="Y6" s="45"/>
      <c r="Z6" s="45"/>
      <c r="AA6" s="55"/>
      <c r="AB6" s="45"/>
      <c r="AC6" s="45"/>
      <c r="AD6" s="55"/>
      <c r="AE6" s="56"/>
      <c r="AF6" s="55"/>
      <c r="AG6" s="45"/>
      <c r="AH6" s="45"/>
      <c r="AI6" s="55"/>
      <c r="AJ6" s="45"/>
      <c r="AK6" s="45"/>
      <c r="AL6" s="45"/>
      <c r="AM6" s="55"/>
      <c r="AN6" s="55"/>
      <c r="AO6" s="55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7"/>
    </row>
    <row r="7" spans="1:54" s="2" customFormat="1" x14ac:dyDescent="0.2">
      <c r="A7" s="578" t="s">
        <v>138</v>
      </c>
      <c r="B7" s="573" t="s">
        <v>497</v>
      </c>
      <c r="C7" s="562">
        <v>373.89763779527561</v>
      </c>
      <c r="D7" s="16"/>
      <c r="E7" s="17">
        <v>22.63</v>
      </c>
      <c r="F7" s="17">
        <v>0</v>
      </c>
      <c r="G7">
        <v>1600</v>
      </c>
      <c r="H7">
        <v>0</v>
      </c>
      <c r="I7">
        <v>794.79</v>
      </c>
      <c r="J7">
        <v>44.57</v>
      </c>
      <c r="K7" s="17">
        <v>40</v>
      </c>
      <c r="L7">
        <v>43.4</v>
      </c>
      <c r="M7">
        <v>924.3</v>
      </c>
      <c r="N7" s="271">
        <v>0</v>
      </c>
      <c r="O7" s="271">
        <v>0</v>
      </c>
      <c r="P7" s="271">
        <v>94</v>
      </c>
      <c r="Q7" s="271">
        <v>120</v>
      </c>
      <c r="R7" s="58"/>
      <c r="S7" s="18"/>
      <c r="T7" s="441">
        <f>SUM(E7:G7,I7:N7,P7)</f>
        <v>3563.6900000000005</v>
      </c>
      <c r="U7" s="441" t="e">
        <f>T7+IF($B$2="mil",1,0.0254)*$C7</f>
        <v>#REF!</v>
      </c>
      <c r="V7" s="441" t="e">
        <f>MAX(V$5:W$5)+IF($B$2="mil",1,0.0254)*DDR2Specs!$E$2</f>
        <v>#REF!</v>
      </c>
      <c r="W7" s="441" t="e">
        <f>MIN(V$5:W$5)+IF($B$2="mil",1,0.0254)*DDR2Specs!$F$2</f>
        <v>#REF!</v>
      </c>
      <c r="X7" s="18"/>
      <c r="Y7" s="534" t="e">
        <f>IF($U7&lt;$V7,$V7-$U7,"Pass")</f>
        <v>#REF!</v>
      </c>
      <c r="Z7" s="447" t="e">
        <f>IF($U7&gt;$W7,$U7-$W7,"Pass")</f>
        <v>#REF!</v>
      </c>
      <c r="AA7" s="18"/>
      <c r="AB7" s="441">
        <f>SUM(E7:G7,I7:M7,O7,Q7)</f>
        <v>3589.6900000000005</v>
      </c>
      <c r="AC7" s="441" t="e">
        <f>AB7+IF($B$2="mil",1,0.0254)*$C7</f>
        <v>#REF!</v>
      </c>
      <c r="AD7" s="441" t="e">
        <f>MAX(AD$5:AE$5)+IF($B$2="mil",1,0.0254)*DDR2Specs!$E$2</f>
        <v>#REF!</v>
      </c>
      <c r="AE7" s="441" t="e">
        <f>MIN(AD$5:AE$5)+IF($B$2="mil",1,0.0254)*DDR2Specs!$F$2</f>
        <v>#REF!</v>
      </c>
      <c r="AF7" s="18"/>
      <c r="AG7" s="534" t="e">
        <f>IF($AC7&lt;$AD7,$AD7-$AC7,"Pass")</f>
        <v>#REF!</v>
      </c>
      <c r="AH7" s="447" t="e">
        <f>IF($AC7&gt;$AE7,$AC7-$AE7,"Pass")</f>
        <v>#REF!</v>
      </c>
      <c r="AI7" s="18"/>
      <c r="AJ7" s="447" t="e">
        <f>IF((ABS($U7-$U8)&lt;=IF($B$2="mil",1,0.0254)*5),"Pass",ABS($U7-$U8))</f>
        <v>#REF!</v>
      </c>
      <c r="AK7" s="447" t="e">
        <f>IF((ABS($AC7-$AC8)&lt;=IF($B$2="mil",1,0.0254)*10),"Pass",ABS($AC7-$AC8))</f>
        <v>#REF!</v>
      </c>
      <c r="AL7" s="447" t="e">
        <f>IF($E7&lt;=IF($B$2="mil",1,0.0254)*50,"Pass",IF($B$2="mil",1,0.0254)*50-$E7)</f>
        <v>#REF!</v>
      </c>
      <c r="AM7" s="447" t="e">
        <f>IF($F7&lt;=IF($B$2="mil",1,0.0254)*500,"Pass",IF($B$2="mil",1,0.0254)*500-$F7)</f>
        <v>#REF!</v>
      </c>
      <c r="AN7" s="447" t="e">
        <f>IF($H7&lt;=IF($B$2="mil",1,0.0254)*0,"Pass",IF($B$2="mil",1,0.0254)*0-$H7)</f>
        <v>#REF!</v>
      </c>
      <c r="AO7" s="447" t="e">
        <f>IF(($G7+$I7)&lt;=IF($B$2="mil",1,0.0254)*2750,"Pass",IF($B$2="mil",1,0.0254)*2750-($G7+I7))</f>
        <v>#REF!</v>
      </c>
      <c r="AP7" s="447" t="e">
        <f>IF($J7&lt;=IF($B$2="mil",1,0.0254)*125,"Pass",IF($B$2="mil",1,0.0254)*125-$J7)</f>
        <v>#REF!</v>
      </c>
      <c r="AQ7" s="447" t="e">
        <f>IF($L7&lt;=IF($B$2="mil",1,0.0254)*125,"Pass",IF($B$2="mil",1,0.0254)*125-$L7)</f>
        <v>#REF!</v>
      </c>
      <c r="AR7" s="447" t="e">
        <f>IF(($L7+$M7)&lt;=IF($B$2="mil",1,0.0254)*1350,"Pass",IF($B$2="mil",1,0.0254)*1350-($L7+M7))</f>
        <v>#REF!</v>
      </c>
      <c r="AS7" s="447" t="e">
        <f>IF($N7&lt;=IF($B$2="mil",1,0.0254)*650,"Pass",IF($B$2="mil",1,0.0254)*650-$N7)</f>
        <v>#REF!</v>
      </c>
      <c r="AT7" s="447" t="e">
        <f>IF($O7&lt;=IF($B$2="mil",1,0.0254)*650,"Pass",IF($B$2="mil",1,0.0254)*650-$O7)</f>
        <v>#REF!</v>
      </c>
      <c r="AU7" s="445" t="e">
        <f>IF(MAX(N7:O7)-MIN(N7:O7)&lt;=IF($B$2="mil",1,0.0254)*50,"Pass",MAX(N7:O7)-MIN(N7:O7)-IF($B$2="mil",1,0.0254)*50)</f>
        <v>#REF!</v>
      </c>
      <c r="AV7" s="447" t="e">
        <f ca="1">CheckLength2(IF($B$2="mil",1,0.0254)*800,N7,P7,0)</f>
        <v>#NAME?</v>
      </c>
      <c r="AW7" s="447" t="e">
        <f ca="1">CheckLength2(800,$O7,Q7,0)</f>
        <v>#NAME?</v>
      </c>
      <c r="AX7" s="447" t="e">
        <f>IF(AND($T7&gt;=IF($B$2="mil",1,0.0254)*500, $T7&lt;=IF($B$2="mil",1,0.0254)*5500),"Pass",IF($B$2="mil",1,0.0254)*5500-$T7)</f>
        <v>#REF!</v>
      </c>
      <c r="AY7" s="447" t="e">
        <f>IF(AND($U7&gt;=IF($B$2="mil",1,0.0254)*500, $U7&lt;=IF($B$2="mil",1,0.0254)*6000),"Pass",IF($B$2="mil",1,0.0254)*6000-$U7)</f>
        <v>#REF!</v>
      </c>
      <c r="AZ7" s="18"/>
      <c r="BA7" s="2" t="e">
        <f ca="1">IF(AND(AL7="Pass",AN7="Pass",AM7="Pass",AW7="Pass",AR7="Pass",AS7="Pass",AT7="Pass",AU7="Pass",AV7="Pass",AQ7="Pass",AP7="Pass",AO7="Pass",AG7="Pass",AH7="Pass",AJ7="Pass",AK7="Pass",AX7="Pass",AY7="Pass",Y7="Pass",Z7="Pass"),"Pass","Fail")</f>
        <v>#REF!</v>
      </c>
      <c r="BB7" s="2" t="e">
        <f ca="1">IF(AND(BA7="Pass",BA8="Pass",BA12="Pass",BA13="Pass",BA17="Pass",BA18="Pass",BA22="Pass",BA23="Pass",BA27="Pass",BA28="Pass",BA32="Pass",BA33="Pass",BA37="Pass",BA38="Pass",BA42="Pass",BA43="Pass"),"Pass","Fail")</f>
        <v>#REF!</v>
      </c>
    </row>
    <row r="8" spans="1:54" s="2" customFormat="1" x14ac:dyDescent="0.2">
      <c r="A8" s="578" t="s">
        <v>139</v>
      </c>
      <c r="B8" s="573" t="s">
        <v>504</v>
      </c>
      <c r="C8" s="562">
        <v>373.93700787401571</v>
      </c>
      <c r="D8" s="16"/>
      <c r="E8" s="17">
        <v>22.63</v>
      </c>
      <c r="F8" s="17">
        <v>0</v>
      </c>
      <c r="G8">
        <v>1600</v>
      </c>
      <c r="H8">
        <v>0</v>
      </c>
      <c r="I8">
        <v>788.93</v>
      </c>
      <c r="J8">
        <v>85.78</v>
      </c>
      <c r="K8" s="17">
        <v>40</v>
      </c>
      <c r="L8">
        <v>44.57</v>
      </c>
      <c r="M8">
        <v>882.34</v>
      </c>
      <c r="N8" s="271">
        <v>0</v>
      </c>
      <c r="O8" s="271">
        <v>0</v>
      </c>
      <c r="P8" s="271">
        <v>100</v>
      </c>
      <c r="Q8" s="271">
        <v>117</v>
      </c>
      <c r="R8" s="58"/>
      <c r="S8" s="18"/>
      <c r="T8" s="441">
        <f>SUM(E8:G8,I8:N8,P8)</f>
        <v>3564.2500000000005</v>
      </c>
      <c r="U8" s="441" t="e">
        <f>T8+IF($B$2="mil",1,0.0254)*$C8</f>
        <v>#REF!</v>
      </c>
      <c r="V8" s="441" t="e">
        <f>MAX(V$5:W$5)+IF($B$2="mil",1,0.0254)*DDR2Specs!$E$2</f>
        <v>#REF!</v>
      </c>
      <c r="W8" s="441" t="e">
        <f>MIN(V$5:W$5)+IF($B$2="mil",1,0.0254)*DDR2Specs!$F$2</f>
        <v>#REF!</v>
      </c>
      <c r="X8" s="18"/>
      <c r="Y8" s="534" t="e">
        <f>IF($U8&lt;$V8,$V8-$U8,"Pass")</f>
        <v>#REF!</v>
      </c>
      <c r="Z8" s="447" t="e">
        <f>IF($U8&gt;$W8,$U8-$W8,"Pass")</f>
        <v>#REF!</v>
      </c>
      <c r="AA8" s="18"/>
      <c r="AB8" s="441">
        <f>SUM(E8:G8,I8:M8,O8,Q8)</f>
        <v>3581.2500000000005</v>
      </c>
      <c r="AC8" s="441" t="e">
        <f>AB8+IF($B$2="mil",1,0.0254)*$C8</f>
        <v>#REF!</v>
      </c>
      <c r="AD8" s="441" t="e">
        <f>MAX(AD$5:AE$5)+IF($B$2="mil",1,0.0254)*DDR2Specs!$E$2</f>
        <v>#REF!</v>
      </c>
      <c r="AE8" s="441" t="e">
        <f>MIN(AD$5:AE$5)+IF($B$2="mil",1,0.0254)*DDR2Specs!$F$2</f>
        <v>#REF!</v>
      </c>
      <c r="AF8" s="18"/>
      <c r="AG8" s="534" t="e">
        <f>IF($AC8&lt;$AD8,$AD8-$AC8,"Pass")</f>
        <v>#REF!</v>
      </c>
      <c r="AH8" s="447" t="e">
        <f>IF($AC8&gt;$AE8,$AC8-$AE8,"Pass")</f>
        <v>#REF!</v>
      </c>
      <c r="AI8" s="18"/>
      <c r="AJ8" s="447" t="e">
        <f>IF((ABS($U8-$U7)&lt;=IF($B$2="mil",1,0.0254)*5),"Pass",ABS($U8-$U7))</f>
        <v>#REF!</v>
      </c>
      <c r="AK8" s="447" t="e">
        <f>IF((ABS($AC8-$AC7)&lt;=IF($B$2="mil",1,0.0254)*10),"Pass",ABS($AC8-$AC7))</f>
        <v>#REF!</v>
      </c>
      <c r="AL8" s="447" t="e">
        <f>IF($E8&lt;=IF($B$2="mil",1,0.0254)*50,"Pass",IF($B$2="mil",1,0.0254)*50-$E8)</f>
        <v>#REF!</v>
      </c>
      <c r="AM8" s="447" t="e">
        <f>IF($F8&lt;=IF($B$2="mil",1,0.0254)*500,"Pass",IF($B$2="mil",1,0.0254)*500-$F8)</f>
        <v>#REF!</v>
      </c>
      <c r="AN8" s="447" t="e">
        <f>IF($H8&lt;=IF($B$2="mil",1,0.0254)*0,"Pass",IF($B$2="mil",1,0.0254)*0-$H8)</f>
        <v>#REF!</v>
      </c>
      <c r="AO8" s="447" t="e">
        <f>IF(($G8+$I8)&lt;=IF($B$2="mil",1,0.0254)*2750,"Pass",IF($B$2="mil",1,0.0254)*2750-($G8+I8))</f>
        <v>#REF!</v>
      </c>
      <c r="AP8" s="447" t="e">
        <f>IF($J8&lt;=IF($B$2="mil",1,0.0254)*125,"Pass",IF($B$2="mil",1,0.0254)*125-$J8)</f>
        <v>#REF!</v>
      </c>
      <c r="AQ8" s="447" t="e">
        <f>IF($L8&lt;=IF($B$2="mil",1,0.0254)*125,"Pass",IF($B$2="mil",1,0.0254)*125-$L8)</f>
        <v>#REF!</v>
      </c>
      <c r="AR8" s="447" t="e">
        <f>IF(($L8+$M8)&lt;=IF($B$2="mil",1,0.0254)*1350,"Pass",IF($B$2="mil",1,0.0254)*1350-($L8+M8))</f>
        <v>#REF!</v>
      </c>
      <c r="AS8" s="447" t="e">
        <f>IF($N8&lt;=IF($B$2="mil",1,0.0254)*650,"Pass",IF($B$2="mil",1,0.0254)*650-$N8)</f>
        <v>#REF!</v>
      </c>
      <c r="AT8" s="447" t="e">
        <f>IF($O8&lt;=IF($B$2="mil",1,0.0254)*650,"Pass",IF($B$2="mil",1,0.0254)*650-$O8)</f>
        <v>#REF!</v>
      </c>
      <c r="AU8" s="445" t="e">
        <f>IF(MAX(N8:O8)-MIN(N8:O8)&lt;=IF($B$2="mil",1,0.0254)*50,"Pass",MAX(N8:O8)-MIN(N8:O8)-IF($B$2="mil",1,0.0254)*50)</f>
        <v>#REF!</v>
      </c>
      <c r="AV8" s="447" t="e">
        <f ca="1">CheckLength2(IF($B$2="mil",1,0.0254)*800,N8,P8,0)</f>
        <v>#NAME?</v>
      </c>
      <c r="AW8" s="447" t="e">
        <f ca="1">CheckLength2(800,$O8,Q8,0)</f>
        <v>#NAME?</v>
      </c>
      <c r="AX8" s="447" t="e">
        <f>IF(AND($T8&gt;=IF($B$2="mil",1,0.0254)*500, $T8&lt;=IF($B$2="mil",1,0.0254)*5500),"Pass",IF($B$2="mil",1,0.0254)*5500-$T8)</f>
        <v>#REF!</v>
      </c>
      <c r="AY8" s="447" t="e">
        <f>IF(AND($U8&gt;=IF($B$2="mil",1,0.0254)*500, $U8&lt;=IF($B$2="mil",1,0.0254)*6000),"Pass",IF($B$2="mil",1,0.0254)*6000-$U8)</f>
        <v>#REF!</v>
      </c>
      <c r="AZ8" s="18"/>
      <c r="BA8" s="2" t="e">
        <f ca="1">IF(AND(AL8="Pass",AN8="Pass",AM8="Pass",AW8="Pass",AR8="Pass",AS8="Pass",AT8="Pass",AU8="Pass",AV8="Pass",AQ8="Pass",AP8="Pass",AO8="Pass",AG8="Pass",AH8="Pass",AJ8="Pass",AK8="Pass",AX8="Pass",AY8="Pass",Y8="Pass",Z8="Pass"),"Pass","Fail")</f>
        <v>#REF!</v>
      </c>
    </row>
    <row r="9" spans="1:54" s="2" customFormat="1" x14ac:dyDescent="0.2">
      <c r="A9" s="6" t="s">
        <v>297</v>
      </c>
      <c r="B9" s="558"/>
      <c r="C9" s="559"/>
      <c r="D9" s="8"/>
      <c r="E9" s="258"/>
      <c r="F9" s="258"/>
      <c r="G9" s="258"/>
      <c r="H9" s="258"/>
      <c r="I9" s="258"/>
      <c r="J9" s="262"/>
      <c r="K9" s="8"/>
      <c r="L9" s="262"/>
      <c r="M9" s="262"/>
      <c r="N9" s="262"/>
      <c r="O9" s="262"/>
      <c r="P9" s="262"/>
      <c r="Q9" s="262"/>
      <c r="R9" s="8"/>
      <c r="S9" s="8"/>
      <c r="T9" s="7"/>
      <c r="U9" s="42"/>
      <c r="V9" s="8"/>
      <c r="W9" s="13"/>
      <c r="X9" s="8"/>
      <c r="Y9" s="13"/>
      <c r="Z9" s="13"/>
      <c r="AA9" s="8"/>
      <c r="AB9" s="7"/>
      <c r="AC9" s="42"/>
      <c r="AD9" s="8"/>
      <c r="AE9" s="13"/>
      <c r="AF9" s="8"/>
      <c r="AG9" s="13"/>
      <c r="AH9" s="13"/>
      <c r="AI9" s="8"/>
      <c r="AJ9" s="13"/>
      <c r="AK9" s="13"/>
      <c r="AL9" s="13"/>
      <c r="AM9" s="13"/>
      <c r="AN9" s="13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10"/>
    </row>
    <row r="10" spans="1:54" s="2" customFormat="1" x14ac:dyDescent="0.2">
      <c r="A10" s="579" t="s">
        <v>72</v>
      </c>
      <c r="B10" s="580"/>
      <c r="C10" s="574"/>
      <c r="D10" s="44"/>
      <c r="E10" s="259"/>
      <c r="F10" s="259"/>
      <c r="G10" s="259"/>
      <c r="H10" s="259"/>
      <c r="I10" s="259"/>
      <c r="J10" s="263"/>
      <c r="K10" s="43"/>
      <c r="L10" s="263"/>
      <c r="M10" s="263"/>
      <c r="N10" s="263"/>
      <c r="O10" s="263"/>
      <c r="P10" s="263"/>
      <c r="Q10" s="263"/>
      <c r="R10" s="43"/>
      <c r="S10" s="485"/>
      <c r="T10" s="67"/>
      <c r="U10" s="485" t="s">
        <v>272</v>
      </c>
      <c r="V10" s="487" t="e">
        <f>MIN('DDR2 Clocks - 4L'!$O$5:$O$6)</f>
        <v>#REF!</v>
      </c>
      <c r="W10" s="486" t="e">
        <f>MAX('DDR2 Clocks - 4L'!$O$5:$O$6)</f>
        <v>#REF!</v>
      </c>
      <c r="X10" s="54"/>
      <c r="Y10" s="54"/>
      <c r="Z10" s="54"/>
      <c r="AA10" s="485"/>
      <c r="AB10" s="67"/>
      <c r="AC10" s="485" t="s">
        <v>332</v>
      </c>
      <c r="AD10" s="487" t="e">
        <f>MIN('DDR2 Clocks - 4L'!$O$7:$O$8)</f>
        <v>#REF!</v>
      </c>
      <c r="AE10" s="486" t="e">
        <f>MAX('DDR2 Clocks - 4L'!$O$7:$O$8)</f>
        <v>#REF!</v>
      </c>
      <c r="AF10" s="54"/>
      <c r="AG10" s="54"/>
      <c r="AH10" s="54"/>
      <c r="AI10" s="485"/>
      <c r="AJ10" s="54"/>
      <c r="AK10" s="54"/>
      <c r="AL10" s="54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8"/>
    </row>
    <row r="11" spans="1:54" s="2" customFormat="1" x14ac:dyDescent="0.2">
      <c r="A11" s="6" t="s">
        <v>298</v>
      </c>
      <c r="B11" s="581"/>
      <c r="C11" s="575"/>
      <c r="D11" s="51"/>
      <c r="E11" s="260"/>
      <c r="F11" s="260"/>
      <c r="G11" s="260"/>
      <c r="H11" s="260"/>
      <c r="I11" s="260"/>
      <c r="J11" s="264"/>
      <c r="K11" s="45"/>
      <c r="L11" s="264"/>
      <c r="M11" s="264"/>
      <c r="N11" s="264"/>
      <c r="O11" s="264"/>
      <c r="P11" s="264"/>
      <c r="Q11" s="264"/>
      <c r="R11" s="45"/>
      <c r="S11" s="55"/>
      <c r="T11" s="45"/>
      <c r="U11" s="45"/>
      <c r="V11" s="55"/>
      <c r="W11" s="56"/>
      <c r="X11" s="55"/>
      <c r="Y11" s="45"/>
      <c r="Z11" s="45"/>
      <c r="AA11" s="55"/>
      <c r="AB11" s="45"/>
      <c r="AC11" s="45"/>
      <c r="AD11" s="55"/>
      <c r="AE11" s="56"/>
      <c r="AF11" s="55"/>
      <c r="AG11" s="45"/>
      <c r="AH11" s="45"/>
      <c r="AI11" s="55"/>
      <c r="AJ11" s="45"/>
      <c r="AK11" s="45"/>
      <c r="AL11" s="45"/>
      <c r="AM11" s="55"/>
      <c r="AN11" s="55"/>
      <c r="AO11" s="55"/>
      <c r="AP11" s="55"/>
      <c r="AQ11" s="55"/>
      <c r="AR11" s="55"/>
      <c r="AS11" s="55"/>
      <c r="AT11" s="55"/>
      <c r="AU11" s="55"/>
      <c r="AV11" s="55"/>
      <c r="AW11" s="55"/>
      <c r="AX11" s="55"/>
      <c r="AY11" s="55"/>
      <c r="AZ11" s="57"/>
    </row>
    <row r="12" spans="1:54" s="2" customFormat="1" x14ac:dyDescent="0.2">
      <c r="A12" s="578" t="s">
        <v>140</v>
      </c>
      <c r="B12" s="573" t="s">
        <v>498</v>
      </c>
      <c r="C12" s="562">
        <v>768.42519685039372</v>
      </c>
      <c r="D12" s="16"/>
      <c r="E12" s="17">
        <v>22.63</v>
      </c>
      <c r="F12" s="17">
        <v>0</v>
      </c>
      <c r="G12">
        <v>1503.71</v>
      </c>
      <c r="H12">
        <v>0</v>
      </c>
      <c r="I12">
        <v>794.79</v>
      </c>
      <c r="J12">
        <v>44.57</v>
      </c>
      <c r="K12" s="17">
        <v>40</v>
      </c>
      <c r="L12">
        <v>43.4</v>
      </c>
      <c r="M12">
        <v>924.3</v>
      </c>
      <c r="N12" s="271">
        <v>0</v>
      </c>
      <c r="O12" s="271">
        <v>0</v>
      </c>
      <c r="P12">
        <v>101.96</v>
      </c>
      <c r="Q12">
        <v>102.52</v>
      </c>
      <c r="R12" s="58"/>
      <c r="S12" s="18"/>
      <c r="T12" s="441">
        <f>SUM(E12:G12,I12:N12,P12)</f>
        <v>3475.3600000000006</v>
      </c>
      <c r="U12" s="441" t="e">
        <f>T12+IF($B$2="mil",1,0.0254)*$C12</f>
        <v>#REF!</v>
      </c>
      <c r="V12" s="441" t="e">
        <f>MAX(V$10:W$10)+IF($B$2="mil",1,0.0254)*DDR2Specs!$E$2</f>
        <v>#REF!</v>
      </c>
      <c r="W12" s="441" t="e">
        <f>MIN(V$10:W$10)+IF($B$2="mil",1,0.0254)*DDR2Specs!$F$2</f>
        <v>#REF!</v>
      </c>
      <c r="X12" s="18"/>
      <c r="Y12" s="534" t="e">
        <f>IF($U12&lt;$V12,$V12-$U12,"Pass")</f>
        <v>#REF!</v>
      </c>
      <c r="Z12" s="447" t="e">
        <f>IF($U12&gt;$W12,$U12-$W12,"Pass")</f>
        <v>#REF!</v>
      </c>
      <c r="AA12" s="18"/>
      <c r="AB12" s="441">
        <f>SUM(E12:G12,I12:M12,O12,Q12)</f>
        <v>3475.9200000000005</v>
      </c>
      <c r="AC12" s="441" t="e">
        <f>AB12+IF($B$2="mil",1,0.0254)*$C12</f>
        <v>#REF!</v>
      </c>
      <c r="AD12" s="441" t="e">
        <f>MAX(AD$10:AE$10)+IF($B$2="mil",1,0.0254)*DDR2Specs!$E$2</f>
        <v>#REF!</v>
      </c>
      <c r="AE12" s="441" t="e">
        <f>MIN(AD$10:AE$10)+IF($B$2="mil",1,0.0254)*DDR2Specs!$F$2</f>
        <v>#REF!</v>
      </c>
      <c r="AF12" s="18"/>
      <c r="AG12" s="534" t="e">
        <f>IF($AC12&lt;$AD12,$AD12-$AC12,"Pass")</f>
        <v>#REF!</v>
      </c>
      <c r="AH12" s="447" t="e">
        <f>IF($AC12&gt;$AE12,$AC12-$AE12,"Pass")</f>
        <v>#REF!</v>
      </c>
      <c r="AI12" s="18"/>
      <c r="AJ12" s="447" t="e">
        <f>IF((ABS($U12-$U13)&lt;=IF($B$2="mil",1,0.0254)*5),"Pass",ABS($U12-$U13))</f>
        <v>#REF!</v>
      </c>
      <c r="AK12" s="447" t="e">
        <f>IF((ABS($AC12-$AC13)&lt;=IF($B$2="mil",1,0.0254)*10),"Pass",ABS($AC12-$AC13))</f>
        <v>#REF!</v>
      </c>
      <c r="AL12" s="447" t="e">
        <f>IF($E12&lt;=IF($B$2="mil",1,0.0254)*50,"Pass",IF($B$2="mil",1,0.0254)*50-$E12)</f>
        <v>#REF!</v>
      </c>
      <c r="AM12" s="447" t="e">
        <f>IF($F12&lt;=IF($B$2="mil",1,0.0254)*500,"Pass",IF($B$2="mil",1,0.0254)*500-$F12)</f>
        <v>#REF!</v>
      </c>
      <c r="AN12" s="447" t="e">
        <f>IF($H12&lt;=IF($B$2="mil",1,0.0254)*0,"Pass",IF($B$2="mil",1,0.0254)*0-$H12)</f>
        <v>#REF!</v>
      </c>
      <c r="AO12" s="447" t="e">
        <f>IF(($G12+$I12)&lt;=IF($B$2="mil",1,0.0254)*2750,"Pass",IF($B$2="mil",1,0.0254)*2750-($G12+I12))</f>
        <v>#REF!</v>
      </c>
      <c r="AP12" s="447" t="e">
        <f>IF($J12&lt;=IF($B$2="mil",1,0.0254)*125,"Pass",IF($B$2="mil",1,0.0254)*125-$J12)</f>
        <v>#REF!</v>
      </c>
      <c r="AQ12" s="447" t="e">
        <f>IF($L12&lt;=IF($B$2="mil",1,0.0254)*125,"Pass",IF($B$2="mil",1,0.0254)*125-$L12)</f>
        <v>#REF!</v>
      </c>
      <c r="AR12" s="447" t="e">
        <f>IF(($L12+$M12)&lt;=IF($B$2="mil",1,0.0254)*1350,"Pass",IF($B$2="mil",1,0.0254)*1350-($L12+M12))</f>
        <v>#REF!</v>
      </c>
      <c r="AS12" s="447" t="e">
        <f>IF($N12&lt;=IF($B$2="mil",1,0.0254)*650,"Pass",IF($B$2="mil",1,0.0254)*650-$N12)</f>
        <v>#REF!</v>
      </c>
      <c r="AT12" s="447" t="e">
        <f>IF($O12&lt;=IF($B$2="mil",1,0.0254)*650,"Pass",IF($B$2="mil",1,0.0254)*650-$O12)</f>
        <v>#REF!</v>
      </c>
      <c r="AU12" s="445" t="e">
        <f>IF(MAX(N12:O12)-MIN(N12:O12)&lt;=IF($B$2="mil",1,0.0254)*50,"Pass",MAX(N12:O12)-MIN(N12:O12)-IF($B$2="mil",1,0.0254)*50)</f>
        <v>#REF!</v>
      </c>
      <c r="AV12" s="447" t="e">
        <f ca="1">CheckLength2(IF($B$2="mil",1,0.0254)*800,N12,P12,0)</f>
        <v>#NAME?</v>
      </c>
      <c r="AW12" s="447" t="e">
        <f ca="1">CheckLength2(800,$O12,Q12,0)</f>
        <v>#NAME?</v>
      </c>
      <c r="AX12" s="447" t="e">
        <f>IF(AND($T12&gt;=IF($B$2="mil",1,0.0254)*500, $T12&lt;=IF($B$2="mil",1,0.0254)*5500),"Pass",IF($B$2="mil",1,0.0254)*5500-$T12)</f>
        <v>#REF!</v>
      </c>
      <c r="AY12" s="447" t="e">
        <f>IF(AND($U12&gt;=IF($B$2="mil",1,0.0254)*500, $U12&lt;=IF($B$2="mil",1,0.0254)*6000),"Pass",IF($B$2="mil",1,0.0254)*6000-$U12)</f>
        <v>#REF!</v>
      </c>
      <c r="AZ12" s="18"/>
      <c r="BA12" s="2" t="e">
        <f ca="1">IF(AND(AL12="Pass",AN12="Pass",AM12="Pass",AW12="Pass",AR12="Pass",AS12="Pass",AT12="Pass",AU12="Pass",AV12="Pass",AQ12="Pass",AP12="Pass",AO12="Pass",AG12="Pass",AH12="Pass",AJ12="Pass",AK12="Pass",AX12="Pass",AY12="Pass",Y12="Pass",Z12="Pass"),"Pass","Fail")</f>
        <v>#REF!</v>
      </c>
    </row>
    <row r="13" spans="1:54" s="2" customFormat="1" x14ac:dyDescent="0.2">
      <c r="A13" s="578" t="s">
        <v>141</v>
      </c>
      <c r="B13" s="573" t="s">
        <v>359</v>
      </c>
      <c r="C13" s="562">
        <v>768.46456692913387</v>
      </c>
      <c r="D13" s="16"/>
      <c r="E13" s="17">
        <v>22.63</v>
      </c>
      <c r="F13" s="17">
        <v>0</v>
      </c>
      <c r="G13">
        <v>1502.26</v>
      </c>
      <c r="H13">
        <v>0</v>
      </c>
      <c r="I13">
        <v>788.93</v>
      </c>
      <c r="J13">
        <v>85.78</v>
      </c>
      <c r="K13" s="17">
        <v>40</v>
      </c>
      <c r="L13">
        <v>44.57</v>
      </c>
      <c r="M13">
        <v>882.34</v>
      </c>
      <c r="N13" s="271">
        <v>0</v>
      </c>
      <c r="O13" s="271">
        <v>0</v>
      </c>
      <c r="P13">
        <v>109.41</v>
      </c>
      <c r="Q13">
        <v>109.35</v>
      </c>
      <c r="R13" s="58"/>
      <c r="S13" s="18"/>
      <c r="T13" s="441">
        <f>SUM(E13:G13,I13:N13,P13)</f>
        <v>3475.9200000000005</v>
      </c>
      <c r="U13" s="441" t="e">
        <f>T13+IF($B$2="mil",1,0.0254)*$C13</f>
        <v>#REF!</v>
      </c>
      <c r="V13" s="441" t="e">
        <f>MAX(V$10:W$10)+IF($B$2="mil",1,0.0254)*DDR2Specs!$E$2</f>
        <v>#REF!</v>
      </c>
      <c r="W13" s="441" t="e">
        <f>MIN(V$10:W$10)+IF($B$2="mil",1,0.0254)*DDR2Specs!$F$2</f>
        <v>#REF!</v>
      </c>
      <c r="X13" s="18"/>
      <c r="Y13" s="534" t="e">
        <f>IF($U13&lt;$V13,$V13-$U13,"Pass")</f>
        <v>#REF!</v>
      </c>
      <c r="Z13" s="447" t="e">
        <f>IF($U13&gt;$W13,$U13-$W13,"Pass")</f>
        <v>#REF!</v>
      </c>
      <c r="AA13" s="18"/>
      <c r="AB13" s="441">
        <f>SUM(E13:G13,I13:M13,O13,Q13)</f>
        <v>3475.8600000000006</v>
      </c>
      <c r="AC13" s="441" t="e">
        <f>AB13+IF($B$2="mil",1,0.0254)*$C13</f>
        <v>#REF!</v>
      </c>
      <c r="AD13" s="441" t="e">
        <f>MAX(AD$10:AE$10)+IF($B$2="mil",1,0.0254)*DDR2Specs!$E$2</f>
        <v>#REF!</v>
      </c>
      <c r="AE13" s="441" t="e">
        <f>MIN(AD$10:AE$10)+IF($B$2="mil",1,0.0254)*DDR2Specs!$F$2</f>
        <v>#REF!</v>
      </c>
      <c r="AF13" s="18"/>
      <c r="AG13" s="534" t="e">
        <f>IF($AC13&lt;$AD13,$AD13-$AC13,"Pass")</f>
        <v>#REF!</v>
      </c>
      <c r="AH13" s="447" t="e">
        <f>IF($AC13&gt;$AE13,$AC13-$AE13,"Pass")</f>
        <v>#REF!</v>
      </c>
      <c r="AI13" s="18"/>
      <c r="AJ13" s="447" t="e">
        <f>IF((ABS($U13-$U12)&lt;=IF($B$2="mil",1,0.0254)*5),"Pass",ABS($U13-$U12))</f>
        <v>#REF!</v>
      </c>
      <c r="AK13" s="447" t="e">
        <f>IF((ABS($AC13-$AC12)&lt;=IF($B$2="mil",1,0.0254)*10),"Pass",ABS($AC13-$AC12))</f>
        <v>#REF!</v>
      </c>
      <c r="AL13" s="447" t="e">
        <f>IF($E13&lt;=IF($B$2="mil",1,0.0254)*50,"Pass",IF($B$2="mil",1,0.0254)*50-$E13)</f>
        <v>#REF!</v>
      </c>
      <c r="AM13" s="447" t="e">
        <f>IF($F13&lt;=IF($B$2="mil",1,0.0254)*500,"Pass",IF($B$2="mil",1,0.0254)*500-$F13)</f>
        <v>#REF!</v>
      </c>
      <c r="AN13" s="447" t="e">
        <f>IF($H13&lt;=IF($B$2="mil",1,0.0254)*0,"Pass",IF($B$2="mil",1,0.0254)*0-$H13)</f>
        <v>#REF!</v>
      </c>
      <c r="AO13" s="447" t="e">
        <f>IF(($G13+$I13)&lt;=IF($B$2="mil",1,0.0254)*2750,"Pass",IF($B$2="mil",1,0.0254)*2750-($G13+I13))</f>
        <v>#REF!</v>
      </c>
      <c r="AP13" s="447" t="e">
        <f>IF($J13&lt;=IF($B$2="mil",1,0.0254)*125,"Pass",IF($B$2="mil",1,0.0254)*125-$J13)</f>
        <v>#REF!</v>
      </c>
      <c r="AQ13" s="447" t="e">
        <f>IF($L13&lt;=IF($B$2="mil",1,0.0254)*125,"Pass",IF($B$2="mil",1,0.0254)*125-$L13)</f>
        <v>#REF!</v>
      </c>
      <c r="AR13" s="447" t="e">
        <f>IF(($L13+$M13)&lt;=IF($B$2="mil",1,0.0254)*1350,"Pass",IF($B$2="mil",1,0.0254)*1350-($L13+M13))</f>
        <v>#REF!</v>
      </c>
      <c r="AS13" s="447" t="e">
        <f>IF($N13&lt;=IF($B$2="mil",1,0.0254)*650,"Pass",IF($B$2="mil",1,0.0254)*650-$N13)</f>
        <v>#REF!</v>
      </c>
      <c r="AT13" s="447" t="e">
        <f>IF($O13&lt;=IF($B$2="mil",1,0.0254)*650,"Pass",IF($B$2="mil",1,0.0254)*650-$O13)</f>
        <v>#REF!</v>
      </c>
      <c r="AU13" s="445" t="e">
        <f>IF(MAX(N13:O13)-MIN(N13:O13)&lt;=IF($B$2="mil",1,0.0254)*50,"Pass",MAX(N13:O13)-MIN(N13:O13)-IF($B$2="mil",1,0.0254)*50)</f>
        <v>#REF!</v>
      </c>
      <c r="AV13" s="447" t="e">
        <f ca="1">CheckLength2(IF($B$2="mil",1,0.0254)*800,N13,P13,0)</f>
        <v>#NAME?</v>
      </c>
      <c r="AW13" s="447" t="e">
        <f ca="1">CheckLength2(800,$O13,Q13,0)</f>
        <v>#NAME?</v>
      </c>
      <c r="AX13" s="447" t="e">
        <f>IF(AND($T13&gt;=IF($B$2="mil",1,0.0254)*500, $T13&lt;=IF($B$2="mil",1,0.0254)*5500),"Pass",IF($B$2="mil",1,0.0254)*5500-$T13)</f>
        <v>#REF!</v>
      </c>
      <c r="AY13" s="447" t="e">
        <f>IF(AND($U13&gt;=IF($B$2="mil",1,0.0254)*500, $U13&lt;=IF($B$2="mil",1,0.0254)*6000),"Pass",IF($B$2="mil",1,0.0254)*6000-$U13)</f>
        <v>#REF!</v>
      </c>
      <c r="AZ13" s="18"/>
      <c r="BA13" s="2" t="e">
        <f ca="1">IF(AND(AL13="Pass",AN13="Pass",AM13="Pass",AW13="Pass",AR13="Pass",AS13="Pass",AT13="Pass",AU13="Pass",AV13="Pass",AQ13="Pass",AP13="Pass",AO13="Pass",AG13="Pass",AH13="Pass",AJ13="Pass",AK13="Pass",AX13="Pass",AY13="Pass",Y13="Pass",Z13="Pass"),"Pass","Fail")</f>
        <v>#REF!</v>
      </c>
    </row>
    <row r="14" spans="1:54" s="2" customFormat="1" x14ac:dyDescent="0.2">
      <c r="A14" s="6" t="s">
        <v>297</v>
      </c>
      <c r="B14" s="558"/>
      <c r="C14" s="559"/>
      <c r="D14" s="8"/>
      <c r="E14" s="258"/>
      <c r="F14" s="258"/>
      <c r="G14" s="258"/>
      <c r="H14" s="258"/>
      <c r="I14" s="258"/>
      <c r="J14" s="262"/>
      <c r="K14" s="8"/>
      <c r="L14" s="262"/>
      <c r="M14" s="262"/>
      <c r="N14" s="262"/>
      <c r="O14" s="262"/>
      <c r="P14" s="262"/>
      <c r="Q14" s="262"/>
      <c r="R14" s="8"/>
      <c r="S14" s="8"/>
      <c r="T14" s="7"/>
      <c r="U14" s="42"/>
      <c r="V14" s="8"/>
      <c r="W14" s="13"/>
      <c r="X14" s="8"/>
      <c r="Y14" s="13"/>
      <c r="Z14" s="13"/>
      <c r="AA14" s="8"/>
      <c r="AB14" s="7"/>
      <c r="AC14" s="42"/>
      <c r="AD14" s="8"/>
      <c r="AE14" s="13"/>
      <c r="AF14" s="8"/>
      <c r="AG14" s="13"/>
      <c r="AH14" s="13"/>
      <c r="AI14" s="8"/>
      <c r="AJ14" s="13"/>
      <c r="AK14" s="13"/>
      <c r="AL14" s="13"/>
      <c r="AM14" s="13"/>
      <c r="AN14" s="13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10"/>
    </row>
    <row r="15" spans="1:54" s="2" customFormat="1" x14ac:dyDescent="0.2">
      <c r="A15" s="579" t="s">
        <v>72</v>
      </c>
      <c r="B15" s="580"/>
      <c r="C15" s="574"/>
      <c r="D15" s="44"/>
      <c r="E15" s="259"/>
      <c r="F15" s="259"/>
      <c r="G15" s="259"/>
      <c r="H15" s="259"/>
      <c r="I15" s="259"/>
      <c r="J15" s="263"/>
      <c r="K15" s="43"/>
      <c r="L15" s="263"/>
      <c r="M15" s="263"/>
      <c r="N15" s="263"/>
      <c r="O15" s="263"/>
      <c r="P15" s="263"/>
      <c r="Q15" s="263"/>
      <c r="R15" s="43"/>
      <c r="S15" s="485"/>
      <c r="T15" s="67"/>
      <c r="U15" s="485" t="s">
        <v>275</v>
      </c>
      <c r="V15" s="487" t="e">
        <f>MIN('DDR2 Clocks - 4L'!$O$9:$O$10)</f>
        <v>#REF!</v>
      </c>
      <c r="W15" s="486" t="e">
        <f>MAX('DDR2 Clocks - 4L'!$O$9:$O$10)</f>
        <v>#REF!</v>
      </c>
      <c r="X15" s="54"/>
      <c r="Y15" s="54"/>
      <c r="Z15" s="54"/>
      <c r="AA15" s="485"/>
      <c r="AB15" s="67"/>
      <c r="AC15" s="485" t="s">
        <v>333</v>
      </c>
      <c r="AD15" s="487" t="e">
        <f>MIN('DDR2 Clocks - 4L'!$O$11:$O$12)</f>
        <v>#REF!</v>
      </c>
      <c r="AE15" s="486" t="e">
        <f>MAX('DDR2 Clocks - 4L'!$O$11:$O$12)</f>
        <v>#REF!</v>
      </c>
      <c r="AF15" s="54"/>
      <c r="AG15" s="54"/>
      <c r="AH15" s="54"/>
      <c r="AI15" s="485"/>
      <c r="AJ15" s="54"/>
      <c r="AK15" s="54"/>
      <c r="AL15" s="54"/>
      <c r="AM15" s="43"/>
      <c r="AN15" s="43"/>
      <c r="AO15" s="43"/>
      <c r="AP15" s="43"/>
      <c r="AQ15" s="43"/>
      <c r="AR15" s="43"/>
      <c r="AS15" s="43"/>
      <c r="AT15" s="43"/>
      <c r="AU15" s="43"/>
      <c r="AV15" s="43"/>
      <c r="AW15" s="43"/>
      <c r="AX15" s="43"/>
      <c r="AY15" s="43"/>
      <c r="AZ15" s="48"/>
    </row>
    <row r="16" spans="1:54" s="2" customFormat="1" x14ac:dyDescent="0.2">
      <c r="A16" s="6" t="s">
        <v>298</v>
      </c>
      <c r="B16" s="581"/>
      <c r="C16" s="575"/>
      <c r="D16" s="51"/>
      <c r="E16" s="260"/>
      <c r="F16" s="260"/>
      <c r="G16" s="260"/>
      <c r="H16" s="260"/>
      <c r="I16" s="260"/>
      <c r="J16" s="264"/>
      <c r="K16" s="45"/>
      <c r="L16" s="264"/>
      <c r="M16" s="264"/>
      <c r="N16" s="264"/>
      <c r="O16" s="264"/>
      <c r="P16" s="264"/>
      <c r="Q16" s="264"/>
      <c r="R16" s="45"/>
      <c r="S16" s="55"/>
      <c r="T16" s="45"/>
      <c r="U16" s="45"/>
      <c r="V16" s="55"/>
      <c r="W16" s="56"/>
      <c r="X16" s="55"/>
      <c r="Y16" s="45"/>
      <c r="Z16" s="45"/>
      <c r="AA16" s="55"/>
      <c r="AB16" s="45"/>
      <c r="AC16" s="45"/>
      <c r="AD16" s="55"/>
      <c r="AE16" s="56"/>
      <c r="AF16" s="55"/>
      <c r="AG16" s="45"/>
      <c r="AH16" s="45"/>
      <c r="AI16" s="55"/>
      <c r="AJ16" s="45"/>
      <c r="AK16" s="45"/>
      <c r="AL16" s="45"/>
      <c r="AM16" s="55"/>
      <c r="AN16" s="55"/>
      <c r="AO16" s="55"/>
      <c r="AP16" s="55"/>
      <c r="AQ16" s="55"/>
      <c r="AR16" s="55"/>
      <c r="AS16" s="55"/>
      <c r="AT16" s="55"/>
      <c r="AU16" s="55"/>
      <c r="AV16" s="55"/>
      <c r="AW16" s="55"/>
      <c r="AX16" s="55"/>
      <c r="AY16" s="55"/>
      <c r="AZ16" s="57"/>
    </row>
    <row r="17" spans="1:53" s="2" customFormat="1" x14ac:dyDescent="0.2">
      <c r="A17" s="578" t="s">
        <v>142</v>
      </c>
      <c r="B17" s="582" t="s">
        <v>362</v>
      </c>
      <c r="C17" s="562">
        <v>606.61417322834643</v>
      </c>
      <c r="D17" s="16"/>
      <c r="E17" s="17">
        <v>22.63</v>
      </c>
      <c r="F17" s="17">
        <v>0</v>
      </c>
      <c r="G17">
        <v>1503.71</v>
      </c>
      <c r="H17">
        <v>0</v>
      </c>
      <c r="I17">
        <v>794.79</v>
      </c>
      <c r="J17">
        <v>44.57</v>
      </c>
      <c r="K17" s="17">
        <v>40</v>
      </c>
      <c r="L17">
        <v>43.4</v>
      </c>
      <c r="M17">
        <v>924.3</v>
      </c>
      <c r="N17" s="271">
        <v>0</v>
      </c>
      <c r="O17" s="271">
        <v>0</v>
      </c>
      <c r="P17">
        <v>132.37</v>
      </c>
      <c r="Q17">
        <v>127.3</v>
      </c>
      <c r="R17" s="58"/>
      <c r="S17" s="18"/>
      <c r="T17" s="441">
        <f>SUM(E17:G17,I17:N17,P17)</f>
        <v>3505.7700000000004</v>
      </c>
      <c r="U17" s="441" t="e">
        <f>T17+IF($B$2="mil",1,0.0254)*$C17</f>
        <v>#REF!</v>
      </c>
      <c r="V17" s="441" t="e">
        <f>MAX(V$15:W$15)+IF($B$2="mil",1,0.0254)*DDR2Specs!$E$2</f>
        <v>#REF!</v>
      </c>
      <c r="W17" s="441" t="e">
        <f>MIN(V$15:W$15)+IF($B$2="mil",1,0.0254)*DDR2Specs!$F$2</f>
        <v>#REF!</v>
      </c>
      <c r="X17" s="18"/>
      <c r="Y17" s="534" t="e">
        <f>IF($U17&lt;$V17,$V17-$U17,"Pass")</f>
        <v>#REF!</v>
      </c>
      <c r="Z17" s="447" t="e">
        <f>IF($U17&gt;$W17,$U17-$W17,"Pass")</f>
        <v>#REF!</v>
      </c>
      <c r="AA17" s="18"/>
      <c r="AB17" s="441">
        <f>SUM(E17:G17,I17:M17,O17,Q17)</f>
        <v>3500.7000000000007</v>
      </c>
      <c r="AC17" s="441" t="e">
        <f>AB17+IF($B$2="mil",1,0.0254)*$C17</f>
        <v>#REF!</v>
      </c>
      <c r="AD17" s="441" t="e">
        <f>MAX(AD$15:AE$15)+IF($B$2="mil",1,0.0254)*DDR2Specs!$E$2</f>
        <v>#REF!</v>
      </c>
      <c r="AE17" s="441" t="e">
        <f>MIN(AD$15:AE$15)+IF($B$2="mil",1,0.0254)*DDR2Specs!$F$2</f>
        <v>#REF!</v>
      </c>
      <c r="AF17" s="18"/>
      <c r="AG17" s="534" t="e">
        <f>IF($AC17&lt;$AD17,$AD17-$AC17,"Pass")</f>
        <v>#REF!</v>
      </c>
      <c r="AH17" s="447" t="e">
        <f>IF($AC17&gt;$AE17,$AC17-$AE17,"Pass")</f>
        <v>#REF!</v>
      </c>
      <c r="AI17" s="18"/>
      <c r="AJ17" s="447" t="e">
        <f>IF((ABS($U17-$U18)&lt;=IF($B$2="mil",1,0.0254)*5),"Pass",ABS($U17-$U18))</f>
        <v>#REF!</v>
      </c>
      <c r="AK17" s="447" t="e">
        <f>IF((ABS($AC17-$AC18)&lt;=IF($B$2="mil",1,0.0254)*10),"Pass",ABS($AC17-$AC18))</f>
        <v>#REF!</v>
      </c>
      <c r="AL17" s="447" t="e">
        <f>IF($E17&lt;=IF($B$2="mil",1,0.0254)*50,"Pass",IF($B$2="mil",1,0.0254)*50-$E17)</f>
        <v>#REF!</v>
      </c>
      <c r="AM17" s="447" t="e">
        <f>IF($F17&lt;=IF($B$2="mil",1,0.0254)*500,"Pass",IF($B$2="mil",1,0.0254)*500-$F17)</f>
        <v>#REF!</v>
      </c>
      <c r="AN17" s="447" t="e">
        <f>IF($H17&lt;=IF($B$2="mil",1,0.0254)*0,"Pass",IF($B$2="mil",1,0.0254)*0-$H17)</f>
        <v>#REF!</v>
      </c>
      <c r="AO17" s="447" t="e">
        <f>IF(($G17+$I17)&lt;=IF($B$2="mil",1,0.0254)*2750,"Pass",IF($B$2="mil",1,0.0254)*2750-($G17+I17))</f>
        <v>#REF!</v>
      </c>
      <c r="AP17" s="447" t="e">
        <f>IF($J17&lt;=IF($B$2="mil",1,0.0254)*125,"Pass",IF($B$2="mil",1,0.0254)*125-$J17)</f>
        <v>#REF!</v>
      </c>
      <c r="AQ17" s="447" t="e">
        <f>IF($L17&lt;=IF($B$2="mil",1,0.0254)*125,"Pass",IF($B$2="mil",1,0.0254)*125-$L17)</f>
        <v>#REF!</v>
      </c>
      <c r="AR17" s="447" t="e">
        <f>IF(($L17+$M17)&lt;=IF($B$2="mil",1,0.0254)*1350,"Pass",IF($B$2="mil",1,0.0254)*1350-($L17+M17))</f>
        <v>#REF!</v>
      </c>
      <c r="AS17" s="447" t="e">
        <f>IF($N17&lt;=IF($B$2="mil",1,0.0254)*650,"Pass",IF($B$2="mil",1,0.0254)*650-$N17)</f>
        <v>#REF!</v>
      </c>
      <c r="AT17" s="447" t="e">
        <f>IF($O17&lt;=IF($B$2="mil",1,0.0254)*650,"Pass",IF($B$2="mil",1,0.0254)*650-$O17)</f>
        <v>#REF!</v>
      </c>
      <c r="AU17" s="445" t="e">
        <f>IF(MAX(N17:O17)-MIN(N17:O17)&lt;=IF($B$2="mil",1,0.0254)*50,"Pass",MAX(N17:O17)-MIN(N17:O17)-IF($B$2="mil",1,0.0254)*50)</f>
        <v>#REF!</v>
      </c>
      <c r="AV17" s="447" t="e">
        <f ca="1">CheckLength2(IF($B$2="mil",1,0.0254)*800,N17,P17,0)</f>
        <v>#NAME?</v>
      </c>
      <c r="AW17" s="447" t="e">
        <f ca="1">CheckLength2(800,$O17,Q17,0)</f>
        <v>#NAME?</v>
      </c>
      <c r="AX17" s="447" t="e">
        <f>IF(AND($T17&gt;=IF($B$2="mil",1,0.0254)*500, $T17&lt;=IF($B$2="mil",1,0.0254)*5500),"Pass",IF($B$2="mil",1,0.0254)*5500-$T17)</f>
        <v>#REF!</v>
      </c>
      <c r="AY17" s="447" t="e">
        <f>IF(AND($U17&gt;=IF($B$2="mil",1,0.0254)*500, $U17&lt;=IF($B$2="mil",1,0.0254)*6000),"Pass",IF($B$2="mil",1,0.0254)*6000-$U17)</f>
        <v>#REF!</v>
      </c>
      <c r="AZ17" s="18"/>
      <c r="BA17" s="2" t="e">
        <f ca="1">IF(AND(AL17="Pass",AN17="Pass",AM17="Pass",AW17="Pass",AR17="Pass",AS17="Pass",AT17="Pass",AU17="Pass",AV17="Pass",AQ17="Pass",AP17="Pass",AO17="Pass",AG17="Pass",AH17="Pass",AJ17="Pass",AK17="Pass",AX17="Pass",AY17="Pass",Y17="Pass",Z17="Pass"),"Pass","Fail")</f>
        <v>#REF!</v>
      </c>
    </row>
    <row r="18" spans="1:53" s="2" customFormat="1" x14ac:dyDescent="0.2">
      <c r="A18" s="578" t="s">
        <v>143</v>
      </c>
      <c r="B18" s="573" t="s">
        <v>505</v>
      </c>
      <c r="C18" s="562">
        <v>606.61417322834643</v>
      </c>
      <c r="D18" s="16"/>
      <c r="E18" s="17">
        <v>22.63</v>
      </c>
      <c r="F18" s="17">
        <v>0</v>
      </c>
      <c r="G18">
        <v>1502.26</v>
      </c>
      <c r="H18">
        <v>0</v>
      </c>
      <c r="I18">
        <v>788.93</v>
      </c>
      <c r="J18">
        <v>85.78</v>
      </c>
      <c r="K18" s="17">
        <v>40</v>
      </c>
      <c r="L18">
        <v>44.57</v>
      </c>
      <c r="M18">
        <v>882.34</v>
      </c>
      <c r="N18" s="271">
        <v>0</v>
      </c>
      <c r="O18" s="271">
        <v>0</v>
      </c>
      <c r="P18">
        <v>137.94</v>
      </c>
      <c r="Q18">
        <v>131.16</v>
      </c>
      <c r="R18" s="58"/>
      <c r="S18" s="18"/>
      <c r="T18" s="441">
        <f>SUM(E18:G18,I18:N18,P18)</f>
        <v>3504.4500000000007</v>
      </c>
      <c r="U18" s="441" t="e">
        <f>T18+IF($B$2="mil",1,0.0254)*$C18</f>
        <v>#REF!</v>
      </c>
      <c r="V18" s="441" t="e">
        <f>MAX(V$15:W$15)+IF($B$2="mil",1,0.0254)*DDR2Specs!$E$2</f>
        <v>#REF!</v>
      </c>
      <c r="W18" s="441" t="e">
        <f>MIN(V$15:W$15)+IF($B$2="mil",1,0.0254)*DDR2Specs!$F$2</f>
        <v>#REF!</v>
      </c>
      <c r="X18" s="18"/>
      <c r="Y18" s="534" t="e">
        <f>IF($U18&lt;$V18,$V18-$U18,"Pass")</f>
        <v>#REF!</v>
      </c>
      <c r="Z18" s="447" t="e">
        <f>IF($U18&gt;$W18,$U18-$W18,"Pass")</f>
        <v>#REF!</v>
      </c>
      <c r="AA18" s="18"/>
      <c r="AB18" s="441">
        <f>SUM(E18:G18,I18:M18,O18,Q18)</f>
        <v>3497.6700000000005</v>
      </c>
      <c r="AC18" s="441" t="e">
        <f>AB18+IF($B$2="mil",1,0.0254)*$C18</f>
        <v>#REF!</v>
      </c>
      <c r="AD18" s="441" t="e">
        <f>MAX(AD$15:AE$15)+IF($B$2="mil",1,0.0254)*DDR2Specs!$E$2</f>
        <v>#REF!</v>
      </c>
      <c r="AE18" s="441" t="e">
        <f>MIN(AD$15:AE$15)+IF($B$2="mil",1,0.0254)*DDR2Specs!$F$2</f>
        <v>#REF!</v>
      </c>
      <c r="AF18" s="18"/>
      <c r="AG18" s="534" t="e">
        <f>IF($AC18&lt;$AD18,$AD18-$AC18,"Pass")</f>
        <v>#REF!</v>
      </c>
      <c r="AH18" s="447" t="e">
        <f>IF($AC18&gt;$AE18,$AC18-$AE18,"Pass")</f>
        <v>#REF!</v>
      </c>
      <c r="AI18" s="18"/>
      <c r="AJ18" s="447" t="e">
        <f>IF((ABS($U18-$U17)&lt;=IF($B$2="mil",1,0.0254)*5),"Pass",ABS($U18-$U17))</f>
        <v>#REF!</v>
      </c>
      <c r="AK18" s="447" t="e">
        <f>IF((ABS($AC18-$AC17)&lt;=IF($B$2="mil",1,0.0254)*10),"Pass",ABS($AC18-$AC17))</f>
        <v>#REF!</v>
      </c>
      <c r="AL18" s="447" t="e">
        <f>IF($E18&lt;=IF($B$2="mil",1,0.0254)*50,"Pass",IF($B$2="mil",1,0.0254)*50-$E18)</f>
        <v>#REF!</v>
      </c>
      <c r="AM18" s="447" t="e">
        <f>IF($F18&lt;=IF($B$2="mil",1,0.0254)*500,"Pass",IF($B$2="mil",1,0.0254)*500-$F18)</f>
        <v>#REF!</v>
      </c>
      <c r="AN18" s="447" t="e">
        <f>IF($H18&lt;=IF($B$2="mil",1,0.0254)*0,"Pass",IF($B$2="mil",1,0.0254)*0-$H18)</f>
        <v>#REF!</v>
      </c>
      <c r="AO18" s="447" t="e">
        <f>IF(($G18+$I18)&lt;=IF($B$2="mil",1,0.0254)*2750,"Pass",IF($B$2="mil",1,0.0254)*2750-($G18+I18))</f>
        <v>#REF!</v>
      </c>
      <c r="AP18" s="447" t="e">
        <f>IF($J18&lt;=IF($B$2="mil",1,0.0254)*125,"Pass",IF($B$2="mil",1,0.0254)*125-$J18)</f>
        <v>#REF!</v>
      </c>
      <c r="AQ18" s="447" t="e">
        <f>IF($L18&lt;=IF($B$2="mil",1,0.0254)*125,"Pass",IF($B$2="mil",1,0.0254)*125-$L18)</f>
        <v>#REF!</v>
      </c>
      <c r="AR18" s="447" t="e">
        <f>IF(($L18+$M18)&lt;=IF($B$2="mil",1,0.0254)*1350,"Pass",IF($B$2="mil",1,0.0254)*1350-($L18+M18))</f>
        <v>#REF!</v>
      </c>
      <c r="AS18" s="447" t="e">
        <f>IF($N18&lt;=IF($B$2="mil",1,0.0254)*650,"Pass",IF($B$2="mil",1,0.0254)*650-$N18)</f>
        <v>#REF!</v>
      </c>
      <c r="AT18" s="447" t="e">
        <f>IF($O18&lt;=IF($B$2="mil",1,0.0254)*650,"Pass",IF($B$2="mil",1,0.0254)*650-$O18)</f>
        <v>#REF!</v>
      </c>
      <c r="AU18" s="445" t="e">
        <f>IF(MAX(N18:O18)-MIN(N18:O18)&lt;=IF($B$2="mil",1,0.0254)*50,"Pass",MAX(N18:O18)-MIN(N18:O18)-IF($B$2="mil",1,0.0254)*50)</f>
        <v>#REF!</v>
      </c>
      <c r="AV18" s="447" t="e">
        <f ca="1">CheckLength2(IF($B$2="mil",1,0.0254)*800,N18,P18,0)</f>
        <v>#NAME?</v>
      </c>
      <c r="AW18" s="447" t="e">
        <f ca="1">CheckLength2(800,$O18,Q18,0)</f>
        <v>#NAME?</v>
      </c>
      <c r="AX18" s="447" t="e">
        <f>IF(AND($T18&gt;=IF($B$2="mil",1,0.0254)*500, $T18&lt;=IF($B$2="mil",1,0.0254)*5500),"Pass",IF($B$2="mil",1,0.0254)*5500-$T18)</f>
        <v>#REF!</v>
      </c>
      <c r="AY18" s="447" t="e">
        <f>IF(AND($U18&gt;=IF($B$2="mil",1,0.0254)*500, $U18&lt;=IF($B$2="mil",1,0.0254)*6000),"Pass",IF($B$2="mil",1,0.0254)*6000-$U18)</f>
        <v>#REF!</v>
      </c>
      <c r="AZ18" s="18"/>
      <c r="BA18" s="2" t="e">
        <f ca="1">IF(AND(AL18="Pass",AN18="Pass",AM18="Pass",AW18="Pass",AR18="Pass",AS18="Pass",AT18="Pass",AU18="Pass",AV18="Pass",AQ18="Pass",AP18="Pass",AO18="Pass",AG18="Pass",AH18="Pass",AJ18="Pass",AK18="Pass",AX18="Pass",AY18="Pass",Y18="Pass",Z18="Pass"),"Pass","Fail")</f>
        <v>#REF!</v>
      </c>
    </row>
    <row r="19" spans="1:53" s="2" customFormat="1" x14ac:dyDescent="0.2">
      <c r="A19" s="6" t="s">
        <v>297</v>
      </c>
      <c r="B19" s="558"/>
      <c r="C19" s="559"/>
      <c r="D19" s="8"/>
      <c r="E19" s="258"/>
      <c r="F19" s="258"/>
      <c r="G19" s="258"/>
      <c r="H19" s="258"/>
      <c r="I19" s="258"/>
      <c r="J19" s="262"/>
      <c r="K19" s="8"/>
      <c r="L19" s="262"/>
      <c r="M19" s="262"/>
      <c r="N19" s="262"/>
      <c r="O19" s="262"/>
      <c r="P19" s="262"/>
      <c r="Q19" s="262"/>
      <c r="R19" s="8"/>
      <c r="S19" s="8"/>
      <c r="T19" s="7"/>
      <c r="U19" s="42"/>
      <c r="V19" s="8"/>
      <c r="W19" s="13"/>
      <c r="X19" s="8"/>
      <c r="Y19" s="13"/>
      <c r="Z19" s="13"/>
      <c r="AA19" s="8"/>
      <c r="AB19" s="7"/>
      <c r="AC19" s="42"/>
      <c r="AD19" s="8"/>
      <c r="AE19" s="13"/>
      <c r="AF19" s="8"/>
      <c r="AG19" s="13"/>
      <c r="AH19" s="13"/>
      <c r="AI19" s="8"/>
      <c r="AJ19" s="13"/>
      <c r="AK19" s="13"/>
      <c r="AL19" s="13"/>
      <c r="AM19" s="13"/>
      <c r="AN19" s="13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10"/>
    </row>
    <row r="20" spans="1:53" s="2" customFormat="1" x14ac:dyDescent="0.2">
      <c r="A20" s="579" t="s">
        <v>72</v>
      </c>
      <c r="B20" s="580"/>
      <c r="C20" s="574"/>
      <c r="D20" s="44"/>
      <c r="E20" s="259"/>
      <c r="F20" s="259"/>
      <c r="G20" s="259"/>
      <c r="H20" s="259"/>
      <c r="I20" s="259"/>
      <c r="J20" s="263"/>
      <c r="K20" s="43"/>
      <c r="L20" s="263"/>
      <c r="M20" s="263"/>
      <c r="N20" s="263"/>
      <c r="O20" s="263"/>
      <c r="P20" s="263"/>
      <c r="Q20" s="263"/>
      <c r="R20" s="43"/>
      <c r="S20" s="485"/>
      <c r="T20" s="67"/>
      <c r="U20" s="485" t="s">
        <v>275</v>
      </c>
      <c r="V20" s="487" t="e">
        <f>MIN('DDR2 Clocks - 4L'!$O$9:$O$10)</f>
        <v>#REF!</v>
      </c>
      <c r="W20" s="486" t="e">
        <f>MAX('DDR2 Clocks - 4L'!$O$9:$O$10)</f>
        <v>#REF!</v>
      </c>
      <c r="X20" s="54"/>
      <c r="Y20" s="54"/>
      <c r="Z20" s="54"/>
      <c r="AA20" s="485"/>
      <c r="AB20" s="67"/>
      <c r="AC20" s="485" t="s">
        <v>333</v>
      </c>
      <c r="AD20" s="487" t="e">
        <f>MIN('DDR2 Clocks - 4L'!$O$11:$O$12)</f>
        <v>#REF!</v>
      </c>
      <c r="AE20" s="486" t="e">
        <f>MAX('DDR2 Clocks - 4L'!$O$11:$O$12)</f>
        <v>#REF!</v>
      </c>
      <c r="AF20" s="54"/>
      <c r="AG20" s="54"/>
      <c r="AH20" s="54"/>
      <c r="AI20" s="485"/>
      <c r="AJ20" s="54"/>
      <c r="AK20" s="54"/>
      <c r="AL20" s="54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8"/>
    </row>
    <row r="21" spans="1:53" s="2" customFormat="1" x14ac:dyDescent="0.2">
      <c r="A21" s="6" t="s">
        <v>298</v>
      </c>
      <c r="B21" s="581"/>
      <c r="C21" s="575"/>
      <c r="D21" s="51"/>
      <c r="E21" s="260"/>
      <c r="F21" s="260"/>
      <c r="G21" s="260"/>
      <c r="H21" s="260"/>
      <c r="I21" s="260"/>
      <c r="J21" s="264"/>
      <c r="K21" s="45"/>
      <c r="L21" s="264"/>
      <c r="M21" s="264"/>
      <c r="N21" s="264"/>
      <c r="O21" s="264"/>
      <c r="P21" s="264"/>
      <c r="Q21" s="264"/>
      <c r="R21" s="45"/>
      <c r="S21" s="55"/>
      <c r="T21" s="45"/>
      <c r="U21" s="45"/>
      <c r="V21" s="55"/>
      <c r="W21" s="56"/>
      <c r="X21" s="55"/>
      <c r="Y21" s="45"/>
      <c r="Z21" s="45"/>
      <c r="AA21" s="55"/>
      <c r="AB21" s="45"/>
      <c r="AC21" s="45"/>
      <c r="AD21" s="55"/>
      <c r="AE21" s="56"/>
      <c r="AF21" s="55"/>
      <c r="AG21" s="45"/>
      <c r="AH21" s="45"/>
      <c r="AI21" s="55"/>
      <c r="AJ21" s="45"/>
      <c r="AK21" s="45"/>
      <c r="AL21" s="4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7"/>
    </row>
    <row r="22" spans="1:53" s="2" customFormat="1" x14ac:dyDescent="0.2">
      <c r="A22" s="578" t="s">
        <v>144</v>
      </c>
      <c r="B22" s="582" t="s">
        <v>499</v>
      </c>
      <c r="C22" s="562">
        <v>765.98425196850394</v>
      </c>
      <c r="D22" s="16"/>
      <c r="E22" s="17">
        <v>22.63</v>
      </c>
      <c r="F22" s="17">
        <v>0</v>
      </c>
      <c r="G22">
        <v>1503.71</v>
      </c>
      <c r="H22">
        <v>0</v>
      </c>
      <c r="I22">
        <v>794.79</v>
      </c>
      <c r="J22">
        <v>44.57</v>
      </c>
      <c r="K22" s="17">
        <v>40</v>
      </c>
      <c r="L22">
        <v>43.4</v>
      </c>
      <c r="M22">
        <v>924.3</v>
      </c>
      <c r="N22" s="271">
        <v>0</v>
      </c>
      <c r="O22" s="271">
        <v>0</v>
      </c>
      <c r="P22">
        <v>106.1</v>
      </c>
      <c r="Q22">
        <v>103.95</v>
      </c>
      <c r="R22" s="58"/>
      <c r="S22" s="18"/>
      <c r="T22" s="441">
        <f>SUM(E22:G22,I22:N22,P22)</f>
        <v>3479.5000000000005</v>
      </c>
      <c r="U22" s="441" t="e">
        <f>T22+IF($B$2="mil",1,0.0254)*$C22</f>
        <v>#REF!</v>
      </c>
      <c r="V22" s="441" t="e">
        <f>MAX(V$20:W$20)+IF($B$2="mil",1,0.0254)*DDR2Specs!$E$2</f>
        <v>#REF!</v>
      </c>
      <c r="W22" s="441" t="e">
        <f>MIN(V$20:W$20)+IF($B$2="mil",1,0.0254)*DDR2Specs!$F$2</f>
        <v>#REF!</v>
      </c>
      <c r="X22" s="18"/>
      <c r="Y22" s="534" t="e">
        <f>IF($U22&lt;$V22,$V22-$U22,"Pass")</f>
        <v>#REF!</v>
      </c>
      <c r="Z22" s="447" t="e">
        <f>IF($U22&gt;$W22,$U22-$W22,"Pass")</f>
        <v>#REF!</v>
      </c>
      <c r="AA22" s="18"/>
      <c r="AB22" s="441">
        <f>SUM(E22:G22,I22:M22,O22,Q22)</f>
        <v>3477.3500000000004</v>
      </c>
      <c r="AC22" s="441" t="e">
        <f>AB22+IF($B$2="mil",1,0.0254)*$C22</f>
        <v>#REF!</v>
      </c>
      <c r="AD22" s="441" t="e">
        <f>MAX(AD$20:AE$20)+IF($B$2="mil",1,0.0254)*DDR2Specs!$E$2</f>
        <v>#REF!</v>
      </c>
      <c r="AE22" s="441" t="e">
        <f>MIN(AD$20:AE$20)+IF($B$2="mil",1,0.0254)*DDR2Specs!$F$2</f>
        <v>#REF!</v>
      </c>
      <c r="AF22" s="18"/>
      <c r="AG22" s="534" t="e">
        <f>IF($AC22&lt;$AD22,$AD22-$AC22,"Pass")</f>
        <v>#REF!</v>
      </c>
      <c r="AH22" s="447" t="e">
        <f>IF($AC22&gt;$AE22,$AC22-$AE22,"Pass")</f>
        <v>#REF!</v>
      </c>
      <c r="AI22" s="18"/>
      <c r="AJ22" s="447" t="e">
        <f>IF((ABS($U22-$U23)&lt;=IF($B$2="mil",1,0.0254)*5),"Pass",ABS($U22-$U23))</f>
        <v>#REF!</v>
      </c>
      <c r="AK22" s="447" t="e">
        <f>IF((ABS($AC22-$AC23)&lt;=IF($B$2="mil",1,0.0254)*10),"Pass",ABS($AC22-$AC23))</f>
        <v>#REF!</v>
      </c>
      <c r="AL22" s="447" t="e">
        <f>IF($E22&lt;=IF($B$2="mil",1,0.0254)*50,"Pass",IF($B$2="mil",1,0.0254)*50-$E22)</f>
        <v>#REF!</v>
      </c>
      <c r="AM22" s="447" t="e">
        <f>IF($F22&lt;=IF($B$2="mil",1,0.0254)*500,"Pass",IF($B$2="mil",1,0.0254)*500-$F22)</f>
        <v>#REF!</v>
      </c>
      <c r="AN22" s="447" t="e">
        <f>IF($H22&lt;=IF($B$2="mil",1,0.0254)*0,"Pass",IF($B$2="mil",1,0.0254)*0-$H22)</f>
        <v>#REF!</v>
      </c>
      <c r="AO22" s="447" t="e">
        <f>IF(($G22+$I22)&lt;=IF($B$2="mil",1,0.0254)*2750,"Pass",IF($B$2="mil",1,0.0254)*2750-($G22+I22))</f>
        <v>#REF!</v>
      </c>
      <c r="AP22" s="447" t="e">
        <f>IF($J22&lt;=IF($B$2="mil",1,0.0254)*125,"Pass",IF($B$2="mil",1,0.0254)*125-$J22)</f>
        <v>#REF!</v>
      </c>
      <c r="AQ22" s="447" t="e">
        <f>IF($L22&lt;=IF($B$2="mil",1,0.0254)*125,"Pass",IF($B$2="mil",1,0.0254)*125-$L22)</f>
        <v>#REF!</v>
      </c>
      <c r="AR22" s="447" t="e">
        <f>IF(($L22+$M22)&lt;=IF($B$2="mil",1,0.0254)*1350,"Pass",IF($B$2="mil",1,0.0254)*1350-($L22+M22))</f>
        <v>#REF!</v>
      </c>
      <c r="AS22" s="447" t="e">
        <f>IF($N22&lt;=IF($B$2="mil",1,0.0254)*650,"Pass",IF($B$2="mil",1,0.0254)*650-$N22)</f>
        <v>#REF!</v>
      </c>
      <c r="AT22" s="447" t="e">
        <f>IF($O22&lt;=IF($B$2="mil",1,0.0254)*650,"Pass",IF($B$2="mil",1,0.0254)*650-$O22)</f>
        <v>#REF!</v>
      </c>
      <c r="AU22" s="445" t="e">
        <f>IF(MAX(N22:O22)-MIN(N22:O22)&lt;=IF($B$2="mil",1,0.0254)*50,"Pass",MAX(N22:O22)-MIN(N22:O22)-IF($B$2="mil",1,0.0254)*50)</f>
        <v>#REF!</v>
      </c>
      <c r="AV22" s="447" t="e">
        <f ca="1">CheckLength2(IF($B$2="mil",1,0.0254)*800,N22,P22,0)</f>
        <v>#NAME?</v>
      </c>
      <c r="AW22" s="447" t="e">
        <f ca="1">CheckLength2(800,$O22,Q22,0)</f>
        <v>#NAME?</v>
      </c>
      <c r="AX22" s="447" t="e">
        <f>IF(AND($T22&gt;=IF($B$2="mil",1,0.0254)*500, $T22&lt;=IF($B$2="mil",1,0.0254)*5500),"Pass",IF($B$2="mil",1,0.0254)*5500-$T22)</f>
        <v>#REF!</v>
      </c>
      <c r="AY22" s="447" t="e">
        <f>IF(AND($U22&gt;=IF($B$2="mil",1,0.0254)*500, $U22&lt;=IF($B$2="mil",1,0.0254)*6000),"Pass",IF($B$2="mil",1,0.0254)*6000-$U22)</f>
        <v>#REF!</v>
      </c>
      <c r="AZ22" s="18"/>
      <c r="BA22" s="2" t="e">
        <f ca="1">IF(AND(AL22="Pass",AN22="Pass",AM22="Pass",AW22="Pass",AR22="Pass",AS22="Pass",AT22="Pass",AU22="Pass",AV22="Pass",AQ22="Pass",AP22="Pass",AO22="Pass",AG22="Pass",AH22="Pass",AJ22="Pass",AK22="Pass",AX22="Pass",AY22="Pass",Y22="Pass",Z22="Pass"),"Pass","Fail")</f>
        <v>#REF!</v>
      </c>
    </row>
    <row r="23" spans="1:53" s="2" customFormat="1" x14ac:dyDescent="0.2">
      <c r="A23" s="578" t="s">
        <v>145</v>
      </c>
      <c r="B23" s="573" t="s">
        <v>506</v>
      </c>
      <c r="C23" s="562">
        <v>765.98425196850394</v>
      </c>
      <c r="D23" s="16"/>
      <c r="E23" s="17">
        <v>22.63</v>
      </c>
      <c r="F23" s="17">
        <v>0</v>
      </c>
      <c r="G23">
        <v>1502.26</v>
      </c>
      <c r="H23">
        <v>0</v>
      </c>
      <c r="I23">
        <v>788.93</v>
      </c>
      <c r="J23">
        <v>85.78</v>
      </c>
      <c r="K23" s="17">
        <v>40</v>
      </c>
      <c r="L23">
        <v>44.57</v>
      </c>
      <c r="M23">
        <v>882.34</v>
      </c>
      <c r="N23" s="271">
        <v>0</v>
      </c>
      <c r="O23" s="271">
        <v>0</v>
      </c>
      <c r="P23">
        <v>113.96</v>
      </c>
      <c r="Q23">
        <v>112.04</v>
      </c>
      <c r="R23" s="58"/>
      <c r="S23" s="18"/>
      <c r="T23" s="441">
        <f>SUM(E23:G23,I23:N23,P23)</f>
        <v>3480.4700000000007</v>
      </c>
      <c r="U23" s="441" t="e">
        <f>T23+IF($B$2="mil",1,0.0254)*$C23</f>
        <v>#REF!</v>
      </c>
      <c r="V23" s="441" t="e">
        <f>MAX(V$20:W$20)+IF($B$2="mil",1,0.0254)*DDR2Specs!$E$2</f>
        <v>#REF!</v>
      </c>
      <c r="W23" s="441" t="e">
        <f>MIN(V$20:W$20)+IF($B$2="mil",1,0.0254)*DDR2Specs!$F$2</f>
        <v>#REF!</v>
      </c>
      <c r="X23" s="18"/>
      <c r="Y23" s="534" t="e">
        <f>IF($U23&lt;$V23,$V23-$U23,"Pass")</f>
        <v>#REF!</v>
      </c>
      <c r="Z23" s="447" t="e">
        <f>IF($U23&gt;$W23,$U23-$W23,"Pass")</f>
        <v>#REF!</v>
      </c>
      <c r="AA23" s="18"/>
      <c r="AB23" s="441">
        <f>SUM(E23:G23,I23:M23,O23,Q23)</f>
        <v>3478.5500000000006</v>
      </c>
      <c r="AC23" s="441" t="e">
        <f>AB23+IF($B$2="mil",1,0.0254)*$C23</f>
        <v>#REF!</v>
      </c>
      <c r="AD23" s="441" t="e">
        <f>MAX(AD$20:AE$20)+IF($B$2="mil",1,0.0254)*DDR2Specs!$E$2</f>
        <v>#REF!</v>
      </c>
      <c r="AE23" s="441" t="e">
        <f>MIN(AD$20:AE$20)+IF($B$2="mil",1,0.0254)*DDR2Specs!$F$2</f>
        <v>#REF!</v>
      </c>
      <c r="AF23" s="18"/>
      <c r="AG23" s="534" t="e">
        <f>IF($AC23&lt;$AD23,$AD23-$AC23,"Pass")</f>
        <v>#REF!</v>
      </c>
      <c r="AH23" s="447" t="e">
        <f>IF($AC23&gt;$AE23,$AC23-$AE23,"Pass")</f>
        <v>#REF!</v>
      </c>
      <c r="AI23" s="18"/>
      <c r="AJ23" s="447" t="e">
        <f>IF((ABS($U23-$U22)&lt;=IF($B$2="mil",1,0.0254)*5),"Pass",ABS($U23-$U22))</f>
        <v>#REF!</v>
      </c>
      <c r="AK23" s="447" t="e">
        <f>IF((ABS($AC23-$AC22)&lt;=IF($B$2="mil",1,0.0254)*10),"Pass",ABS($AC23-$AC22))</f>
        <v>#REF!</v>
      </c>
      <c r="AL23" s="447" t="e">
        <f>IF($E23&lt;=IF($B$2="mil",1,0.0254)*50,"Pass",IF($B$2="mil",1,0.0254)*50-$E23)</f>
        <v>#REF!</v>
      </c>
      <c r="AM23" s="447" t="e">
        <f>IF($F23&lt;=IF($B$2="mil",1,0.0254)*500,"Pass",IF($B$2="mil",1,0.0254)*500-$F23)</f>
        <v>#REF!</v>
      </c>
      <c r="AN23" s="447" t="e">
        <f>IF($H23&lt;=IF($B$2="mil",1,0.0254)*0,"Pass",IF($B$2="mil",1,0.0254)*0-$H23)</f>
        <v>#REF!</v>
      </c>
      <c r="AO23" s="447" t="e">
        <f>IF(($G23+$I23)&lt;=IF($B$2="mil",1,0.0254)*2750,"Pass",IF($B$2="mil",1,0.0254)*2750-($G23+I23))</f>
        <v>#REF!</v>
      </c>
      <c r="AP23" s="447" t="e">
        <f>IF($J23&lt;=IF($B$2="mil",1,0.0254)*125,"Pass",IF($B$2="mil",1,0.0254)*125-$J23)</f>
        <v>#REF!</v>
      </c>
      <c r="AQ23" s="447" t="e">
        <f>IF($L23&lt;=IF($B$2="mil",1,0.0254)*125,"Pass",IF($B$2="mil",1,0.0254)*125-$L23)</f>
        <v>#REF!</v>
      </c>
      <c r="AR23" s="447" t="e">
        <f>IF(($L23+$M23)&lt;=IF($B$2="mil",1,0.0254)*1350,"Pass",IF($B$2="mil",1,0.0254)*1350-($L23+M23))</f>
        <v>#REF!</v>
      </c>
      <c r="AS23" s="447" t="e">
        <f>IF($N23&lt;=IF($B$2="mil",1,0.0254)*650,"Pass",IF($B$2="mil",1,0.0254)*650-$N23)</f>
        <v>#REF!</v>
      </c>
      <c r="AT23" s="447" t="e">
        <f>IF($O23&lt;=IF($B$2="mil",1,0.0254)*650,"Pass",IF($B$2="mil",1,0.0254)*650-$O23)</f>
        <v>#REF!</v>
      </c>
      <c r="AU23" s="445" t="e">
        <f>IF(MAX(N23:O23)-MIN(N23:O23)&lt;=IF($B$2="mil",1,0.0254)*50,"Pass",MAX(N23:O23)-MIN(N23:O23)-IF($B$2="mil",1,0.0254)*50)</f>
        <v>#REF!</v>
      </c>
      <c r="AV23" s="447" t="e">
        <f ca="1">CheckLength2(IF($B$2="mil",1,0.0254)*800,N23,P23,0)</f>
        <v>#NAME?</v>
      </c>
      <c r="AW23" s="447" t="e">
        <f ca="1">CheckLength2(800,$O23,Q23,0)</f>
        <v>#NAME?</v>
      </c>
      <c r="AX23" s="447" t="e">
        <f>IF(AND($T23&gt;=IF($B$2="mil",1,0.0254)*500, $T23&lt;=IF($B$2="mil",1,0.0254)*5500),"Pass",IF($B$2="mil",1,0.0254)*5500-$T23)</f>
        <v>#REF!</v>
      </c>
      <c r="AY23" s="447" t="e">
        <f>IF(AND($U23&gt;=IF($B$2="mil",1,0.0254)*500, $U23&lt;=IF($B$2="mil",1,0.0254)*6000),"Pass",IF($B$2="mil",1,0.0254)*6000-$U23)</f>
        <v>#REF!</v>
      </c>
      <c r="AZ23" s="18"/>
      <c r="BA23" s="2" t="e">
        <f ca="1">IF(AND(AL23="Pass",AN23="Pass",AM23="Pass",AW23="Pass",AR23="Pass",AS23="Pass",AT23="Pass",AU23="Pass",AV23="Pass",AQ23="Pass",AP23="Pass",AO23="Pass",AG23="Pass",AH23="Pass",AJ23="Pass",AK23="Pass",AX23="Pass",AY23="Pass",Y23="Pass",Z23="Pass"),"Pass","Fail")</f>
        <v>#REF!</v>
      </c>
    </row>
    <row r="24" spans="1:53" s="2" customFormat="1" x14ac:dyDescent="0.2">
      <c r="A24" s="6" t="s">
        <v>297</v>
      </c>
      <c r="B24" s="558"/>
      <c r="C24" s="559"/>
      <c r="D24" s="8"/>
      <c r="E24" s="258"/>
      <c r="F24" s="258"/>
      <c r="G24" s="258"/>
      <c r="H24" s="258"/>
      <c r="I24" s="258"/>
      <c r="J24" s="262"/>
      <c r="K24" s="8"/>
      <c r="L24" s="262"/>
      <c r="M24" s="262"/>
      <c r="N24" s="262"/>
      <c r="O24" s="262"/>
      <c r="P24" s="262"/>
      <c r="Q24" s="262"/>
      <c r="R24" s="8"/>
      <c r="S24" s="8"/>
      <c r="T24" s="7"/>
      <c r="U24" s="42"/>
      <c r="V24" s="8"/>
      <c r="W24" s="13"/>
      <c r="X24" s="8"/>
      <c r="Y24" s="13"/>
      <c r="Z24" s="13"/>
      <c r="AA24" s="8"/>
      <c r="AB24" s="7"/>
      <c r="AC24" s="42"/>
      <c r="AD24" s="8"/>
      <c r="AE24" s="13"/>
      <c r="AF24" s="8"/>
      <c r="AG24" s="13"/>
      <c r="AH24" s="13"/>
      <c r="AI24" s="8"/>
      <c r="AJ24" s="13"/>
      <c r="AK24" s="13"/>
      <c r="AL24" s="13"/>
      <c r="AM24" s="13"/>
      <c r="AN24" s="13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10"/>
    </row>
    <row r="25" spans="1:53" s="2" customFormat="1" x14ac:dyDescent="0.2">
      <c r="A25" s="579" t="s">
        <v>72</v>
      </c>
      <c r="B25" s="580"/>
      <c r="C25" s="574"/>
      <c r="D25" s="44"/>
      <c r="E25" s="259"/>
      <c r="F25" s="259"/>
      <c r="G25" s="259"/>
      <c r="H25" s="259"/>
      <c r="I25" s="259"/>
      <c r="J25" s="263"/>
      <c r="K25" s="43"/>
      <c r="L25" s="263"/>
      <c r="M25" s="263"/>
      <c r="N25" s="263"/>
      <c r="O25" s="263"/>
      <c r="P25" s="263"/>
      <c r="Q25" s="263"/>
      <c r="R25" s="43"/>
      <c r="S25" s="485"/>
      <c r="T25" s="67"/>
      <c r="U25" s="485" t="s">
        <v>274</v>
      </c>
      <c r="V25" s="487" t="e">
        <f>MIN('DDR2 Clocks - 4L'!$O$13:$O$14)</f>
        <v>#REF!</v>
      </c>
      <c r="W25" s="486" t="e">
        <f>MAX('DDR2 Clocks - 4L'!$O$13:$O$14)</f>
        <v>#REF!</v>
      </c>
      <c r="X25" s="54"/>
      <c r="Y25" s="54"/>
      <c r="Z25" s="54"/>
      <c r="AA25" s="485"/>
      <c r="AB25" s="67"/>
      <c r="AC25" s="485" t="s">
        <v>334</v>
      </c>
      <c r="AD25" s="487" t="e">
        <f>MIN('DDR2 Clocks - 4L'!$O$15:$O$16)</f>
        <v>#REF!</v>
      </c>
      <c r="AE25" s="486" t="e">
        <f>MAX('DDR2 Clocks - 4L'!$O$15:$O$16)</f>
        <v>#REF!</v>
      </c>
      <c r="AF25" s="54"/>
      <c r="AG25" s="54"/>
      <c r="AH25" s="54"/>
      <c r="AI25" s="485"/>
      <c r="AJ25" s="54"/>
      <c r="AK25" s="54"/>
      <c r="AL25" s="54"/>
      <c r="AM25" s="43"/>
      <c r="AN25" s="43"/>
      <c r="AO25" s="43"/>
      <c r="AP25" s="43"/>
      <c r="AQ25" s="43"/>
      <c r="AR25" s="43"/>
      <c r="AS25" s="43"/>
      <c r="AT25" s="43"/>
      <c r="AU25" s="43"/>
      <c r="AV25" s="43"/>
      <c r="AW25" s="43"/>
      <c r="AX25" s="43"/>
      <c r="AY25" s="43"/>
      <c r="AZ25" s="48"/>
    </row>
    <row r="26" spans="1:53" s="2" customFormat="1" x14ac:dyDescent="0.2">
      <c r="A26" s="6" t="s">
        <v>298</v>
      </c>
      <c r="B26" s="581"/>
      <c r="C26" s="575"/>
      <c r="D26" s="51"/>
      <c r="E26" s="260"/>
      <c r="F26" s="260"/>
      <c r="G26" s="260"/>
      <c r="H26" s="260"/>
      <c r="I26" s="260"/>
      <c r="J26" s="264"/>
      <c r="K26" s="45"/>
      <c r="L26" s="264"/>
      <c r="M26" s="264"/>
      <c r="N26" s="264"/>
      <c r="O26" s="264"/>
      <c r="P26" s="264"/>
      <c r="Q26" s="264"/>
      <c r="R26" s="45"/>
      <c r="S26" s="55"/>
      <c r="T26" s="45"/>
      <c r="U26" s="45"/>
      <c r="V26" s="55"/>
      <c r="W26" s="56"/>
      <c r="X26" s="55"/>
      <c r="Y26" s="45"/>
      <c r="Z26" s="45"/>
      <c r="AA26" s="55"/>
      <c r="AB26" s="45"/>
      <c r="AC26" s="45"/>
      <c r="AD26" s="55"/>
      <c r="AE26" s="56"/>
      <c r="AF26" s="55"/>
      <c r="AG26" s="45"/>
      <c r="AH26" s="45"/>
      <c r="AI26" s="55"/>
      <c r="AJ26" s="45"/>
      <c r="AK26" s="45"/>
      <c r="AL26" s="4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7"/>
    </row>
    <row r="27" spans="1:53" s="2" customFormat="1" x14ac:dyDescent="0.2">
      <c r="A27" s="578" t="s">
        <v>146</v>
      </c>
      <c r="B27" s="573" t="s">
        <v>500</v>
      </c>
      <c r="C27" s="562">
        <v>838.58267716535443</v>
      </c>
      <c r="D27" s="16"/>
      <c r="E27" s="17">
        <v>22.63</v>
      </c>
      <c r="F27" s="17">
        <v>0</v>
      </c>
      <c r="G27">
        <v>1503.71</v>
      </c>
      <c r="H27">
        <v>0</v>
      </c>
      <c r="I27">
        <v>794.79</v>
      </c>
      <c r="J27">
        <v>44.57</v>
      </c>
      <c r="K27" s="17">
        <v>40</v>
      </c>
      <c r="L27">
        <v>43.4</v>
      </c>
      <c r="M27">
        <v>924.3</v>
      </c>
      <c r="N27" s="271">
        <v>0</v>
      </c>
      <c r="O27" s="271">
        <v>0</v>
      </c>
      <c r="P27">
        <v>120.32</v>
      </c>
      <c r="Q27">
        <v>114.96</v>
      </c>
      <c r="R27" s="58"/>
      <c r="S27" s="18"/>
      <c r="T27" s="441">
        <f>SUM(E27:G27,I27:N27,P27)</f>
        <v>3493.7200000000007</v>
      </c>
      <c r="U27" s="441" t="e">
        <f>T27+IF($B$2="mil",1,0.0254)*$C27</f>
        <v>#REF!</v>
      </c>
      <c r="V27" s="441" t="e">
        <f>MAX(V$25:W$25)+IF($B$2="mil",1,0.0254)*DDR2Specs!$E$2</f>
        <v>#REF!</v>
      </c>
      <c r="W27" s="441" t="e">
        <f>MIN(V$25:W$25)+IF($B$2="mil",1,0.0254)*DDR2Specs!$F$2</f>
        <v>#REF!</v>
      </c>
      <c r="X27" s="18"/>
      <c r="Y27" s="534" t="e">
        <f>IF($U27&lt;$V27,$V27-$U27,"Pass")</f>
        <v>#REF!</v>
      </c>
      <c r="Z27" s="447" t="e">
        <f>IF($U27&gt;$W27,$U27-$W27,"Pass")</f>
        <v>#REF!</v>
      </c>
      <c r="AA27" s="18"/>
      <c r="AB27" s="441">
        <f>SUM(E27:G27,I27:M27,O27,Q27)</f>
        <v>3488.3600000000006</v>
      </c>
      <c r="AC27" s="441" t="e">
        <f>AB27+IF($B$2="mil",1,0.0254)*$C27</f>
        <v>#REF!</v>
      </c>
      <c r="AD27" s="441" t="e">
        <f>MAX(AD$25:AE$25)+IF($B$2="mil",1,0.0254)*DDR2Specs!$E$2</f>
        <v>#REF!</v>
      </c>
      <c r="AE27" s="441" t="e">
        <f>MIN(AD$25:AE$25)+IF($B$2="mil",1,0.0254)*DDR2Specs!$F$2</f>
        <v>#REF!</v>
      </c>
      <c r="AF27" s="18"/>
      <c r="AG27" s="534" t="e">
        <f>IF($AC27&lt;$AD27,$AD27-$AC27,"Pass")</f>
        <v>#REF!</v>
      </c>
      <c r="AH27" s="447" t="e">
        <f>IF($AC27&gt;$AE27,$AC27-$AE27,"Pass")</f>
        <v>#REF!</v>
      </c>
      <c r="AI27" s="18"/>
      <c r="AJ27" s="447" t="e">
        <f>IF((ABS($U27-$U28)&lt;=IF($B$2="mil",1,0.0254)*5),"Pass",ABS($U27-$U28))</f>
        <v>#REF!</v>
      </c>
      <c r="AK27" s="447" t="e">
        <f>IF((ABS($AC27-$AC28)&lt;=IF($B$2="mil",1,0.0254)*10),"Pass",ABS($AC27-$AC28))</f>
        <v>#REF!</v>
      </c>
      <c r="AL27" s="447" t="e">
        <f>IF($E27&lt;=IF($B$2="mil",1,0.0254)*50,"Pass",IF($B$2="mil",1,0.0254)*50-$E27)</f>
        <v>#REF!</v>
      </c>
      <c r="AM27" s="447" t="e">
        <f>IF($F27&lt;=IF($B$2="mil",1,0.0254)*500,"Pass",IF($B$2="mil",1,0.0254)*500-$F27)</f>
        <v>#REF!</v>
      </c>
      <c r="AN27" s="447" t="e">
        <f>IF($H27&lt;=IF($B$2="mil",1,0.0254)*0,"Pass",IF($B$2="mil",1,0.0254)*0-$H27)</f>
        <v>#REF!</v>
      </c>
      <c r="AO27" s="447" t="e">
        <f>IF(($G27+$I27)&lt;=IF($B$2="mil",1,0.0254)*2750,"Pass",IF($B$2="mil",1,0.0254)*2750-($G27+I27))</f>
        <v>#REF!</v>
      </c>
      <c r="AP27" s="447" t="e">
        <f>IF($J27&lt;=IF($B$2="mil",1,0.0254)*125,"Pass",IF($B$2="mil",1,0.0254)*125-$J27)</f>
        <v>#REF!</v>
      </c>
      <c r="AQ27" s="447" t="e">
        <f>IF($L27&lt;=IF($B$2="mil",1,0.0254)*125,"Pass",IF($B$2="mil",1,0.0254)*125-$L27)</f>
        <v>#REF!</v>
      </c>
      <c r="AR27" s="447" t="e">
        <f>IF(($L27+$M27)&lt;=IF($B$2="mil",1,0.0254)*1350,"Pass",IF($B$2="mil",1,0.0254)*1350-($L27+M27))</f>
        <v>#REF!</v>
      </c>
      <c r="AS27" s="447" t="e">
        <f>IF($N27&lt;=IF($B$2="mil",1,0.0254)*650,"Pass",IF($B$2="mil",1,0.0254)*650-$N27)</f>
        <v>#REF!</v>
      </c>
      <c r="AT27" s="447" t="e">
        <f>IF($O27&lt;=IF($B$2="mil",1,0.0254)*650,"Pass",IF($B$2="mil",1,0.0254)*650-$O27)</f>
        <v>#REF!</v>
      </c>
      <c r="AU27" s="445" t="e">
        <f>IF(MAX(N27:O27)-MIN(N27:O27)&lt;=IF($B$2="mil",1,0.0254)*50,"Pass",MAX(N27:O27)-MIN(N27:O27)-IF($B$2="mil",1,0.0254)*50)</f>
        <v>#REF!</v>
      </c>
      <c r="AV27" s="447" t="e">
        <f ca="1">CheckLength2(IF($B$2="mil",1,0.0254)*800,N27,P27,0)</f>
        <v>#NAME?</v>
      </c>
      <c r="AW27" s="447" t="e">
        <f ca="1">CheckLength2(800,$O27,Q27,0)</f>
        <v>#NAME?</v>
      </c>
      <c r="AX27" s="447" t="e">
        <f>IF(AND($T27&gt;=IF($B$2="mil",1,0.0254)*500, $T27&lt;=IF($B$2="mil",1,0.0254)*5500),"Pass",IF($B$2="mil",1,0.0254)*5500-$T27)</f>
        <v>#REF!</v>
      </c>
      <c r="AY27" s="447" t="e">
        <f>IF(AND($U27&gt;=IF($B$2="mil",1,0.0254)*500, $U27&lt;=IF($B$2="mil",1,0.0254)*6000),"Pass",IF($B$2="mil",1,0.0254)*6000-$U27)</f>
        <v>#REF!</v>
      </c>
      <c r="AZ27" s="18"/>
      <c r="BA27" s="2" t="e">
        <f ca="1">IF(AND(AL27="Pass",AN27="Pass",AM27="Pass",AW27="Pass",AR27="Pass",AS27="Pass",AT27="Pass",AU27="Pass",AV27="Pass",AQ27="Pass",AP27="Pass",AO27="Pass",AG27="Pass",AH27="Pass",AJ27="Pass",AK27="Pass",AX27="Pass",AY27="Pass",Y27="Pass",Z27="Pass"),"Pass","Fail")</f>
        <v>#REF!</v>
      </c>
    </row>
    <row r="28" spans="1:53" s="2" customFormat="1" x14ac:dyDescent="0.2">
      <c r="A28" s="578" t="s">
        <v>147</v>
      </c>
      <c r="B28" s="573" t="s">
        <v>507</v>
      </c>
      <c r="C28" s="562">
        <v>838.58267716535443</v>
      </c>
      <c r="D28" s="16"/>
      <c r="E28" s="17">
        <v>22.63</v>
      </c>
      <c r="F28" s="17">
        <v>0</v>
      </c>
      <c r="G28">
        <v>1502.26</v>
      </c>
      <c r="H28">
        <v>0</v>
      </c>
      <c r="I28">
        <v>788.93</v>
      </c>
      <c r="J28">
        <v>85.78</v>
      </c>
      <c r="K28" s="17">
        <v>40</v>
      </c>
      <c r="L28">
        <v>44.57</v>
      </c>
      <c r="M28">
        <v>882.34</v>
      </c>
      <c r="N28" s="271">
        <v>0</v>
      </c>
      <c r="O28" s="271">
        <v>0</v>
      </c>
      <c r="P28">
        <v>129.34</v>
      </c>
      <c r="Q28">
        <v>129.84</v>
      </c>
      <c r="R28" s="58"/>
      <c r="S28" s="18"/>
      <c r="T28" s="441">
        <f>SUM(E28:G28,I28:N28,P28)</f>
        <v>3495.8500000000008</v>
      </c>
      <c r="U28" s="441" t="e">
        <f>T28+IF($B$2="mil",1,0.0254)*$C28</f>
        <v>#REF!</v>
      </c>
      <c r="V28" s="441" t="e">
        <f>MAX(V$25:W$25)+IF($B$2="mil",1,0.0254)*DDR2Specs!$E$2</f>
        <v>#REF!</v>
      </c>
      <c r="W28" s="441" t="e">
        <f>MIN(V$25:W$25)+IF($B$2="mil",1,0.0254)*DDR2Specs!$F$2</f>
        <v>#REF!</v>
      </c>
      <c r="X28" s="18"/>
      <c r="Y28" s="534" t="e">
        <f>IF($U28&lt;$V28,$V28-$U28,"Pass")</f>
        <v>#REF!</v>
      </c>
      <c r="Z28" s="447" t="e">
        <f>IF($U28&gt;$W28,$U28-$W28,"Pass")</f>
        <v>#REF!</v>
      </c>
      <c r="AA28" s="18"/>
      <c r="AB28" s="441">
        <f>SUM(E28:G28,I28:M28,O28,Q28)</f>
        <v>3496.3500000000008</v>
      </c>
      <c r="AC28" s="441" t="e">
        <f>AB28+IF($B$2="mil",1,0.0254)*$C28</f>
        <v>#REF!</v>
      </c>
      <c r="AD28" s="441" t="e">
        <f>MAX(AD$25:AE$25)+IF($B$2="mil",1,0.0254)*DDR2Specs!$E$2</f>
        <v>#REF!</v>
      </c>
      <c r="AE28" s="441" t="e">
        <f>MIN(AD$25:AE$25)+IF($B$2="mil",1,0.0254)*DDR2Specs!$F$2</f>
        <v>#REF!</v>
      </c>
      <c r="AF28" s="18"/>
      <c r="AG28" s="534" t="e">
        <f>IF($AC28&lt;$AD28,$AD28-$AC28,"Pass")</f>
        <v>#REF!</v>
      </c>
      <c r="AH28" s="447" t="e">
        <f>IF($AC28&gt;$AE28,$AC28-$AE28,"Pass")</f>
        <v>#REF!</v>
      </c>
      <c r="AI28" s="18"/>
      <c r="AJ28" s="447" t="e">
        <f>IF((ABS($U28-$U27)&lt;=IF($B$2="mil",1,0.0254)*5),"Pass",ABS($U28-$U27))</f>
        <v>#REF!</v>
      </c>
      <c r="AK28" s="447" t="e">
        <f>IF((ABS($AC28-$AC27)&lt;=IF($B$2="mil",1,0.0254)*10),"Pass",ABS($AC28-$AC27))</f>
        <v>#REF!</v>
      </c>
      <c r="AL28" s="447" t="e">
        <f>IF($E28&lt;=IF($B$2="mil",1,0.0254)*50,"Pass",IF($B$2="mil",1,0.0254)*50-$E28)</f>
        <v>#REF!</v>
      </c>
      <c r="AM28" s="447" t="e">
        <f>IF($F28&lt;=IF($B$2="mil",1,0.0254)*500,"Pass",IF($B$2="mil",1,0.0254)*500-$F28)</f>
        <v>#REF!</v>
      </c>
      <c r="AN28" s="447" t="e">
        <f>IF($H28&lt;=IF($B$2="mil",1,0.0254)*0,"Pass",IF($B$2="mil",1,0.0254)*0-$H28)</f>
        <v>#REF!</v>
      </c>
      <c r="AO28" s="447" t="e">
        <f>IF(($G28+$I28)&lt;=IF($B$2="mil",1,0.0254)*2750,"Pass",IF($B$2="mil",1,0.0254)*2750-($G28+I28))</f>
        <v>#REF!</v>
      </c>
      <c r="AP28" s="447" t="e">
        <f>IF($J28&lt;=IF($B$2="mil",1,0.0254)*125,"Pass",IF($B$2="mil",1,0.0254)*125-$J28)</f>
        <v>#REF!</v>
      </c>
      <c r="AQ28" s="447" t="e">
        <f>IF($L28&lt;=IF($B$2="mil",1,0.0254)*125,"Pass",IF($B$2="mil",1,0.0254)*125-$L28)</f>
        <v>#REF!</v>
      </c>
      <c r="AR28" s="447" t="e">
        <f>IF(($L28+$M28)&lt;=IF($B$2="mil",1,0.0254)*1350,"Pass",IF($B$2="mil",1,0.0254)*1350-($L28+M28))</f>
        <v>#REF!</v>
      </c>
      <c r="AS28" s="447" t="e">
        <f>IF($N28&lt;=IF($B$2="mil",1,0.0254)*650,"Pass",IF($B$2="mil",1,0.0254)*650-$N28)</f>
        <v>#REF!</v>
      </c>
      <c r="AT28" s="447" t="e">
        <f>IF($O28&lt;=IF($B$2="mil",1,0.0254)*650,"Pass",IF($B$2="mil",1,0.0254)*650-$O28)</f>
        <v>#REF!</v>
      </c>
      <c r="AU28" s="445" t="e">
        <f>IF(MAX(N28:O28)-MIN(N28:O28)&lt;=IF($B$2="mil",1,0.0254)*50,"Pass",MAX(N28:O28)-MIN(N28:O28)-IF($B$2="mil",1,0.0254)*50)</f>
        <v>#REF!</v>
      </c>
      <c r="AV28" s="447" t="e">
        <f ca="1">CheckLength2(IF($B$2="mil",1,0.0254)*800,N28,P28,0)</f>
        <v>#NAME?</v>
      </c>
      <c r="AW28" s="447" t="e">
        <f ca="1">CheckLength2(800,$O28,Q28,0)</f>
        <v>#NAME?</v>
      </c>
      <c r="AX28" s="447" t="e">
        <f>IF(AND($T28&gt;=IF($B$2="mil",1,0.0254)*500, $T28&lt;=IF($B$2="mil",1,0.0254)*5500),"Pass",IF($B$2="mil",1,0.0254)*5500-$T28)</f>
        <v>#REF!</v>
      </c>
      <c r="AY28" s="447" t="e">
        <f>IF(AND($U28&gt;=IF($B$2="mil",1,0.0254)*500, $U28&lt;=IF($B$2="mil",1,0.0254)*6000),"Pass",IF($B$2="mil",1,0.0254)*6000-$U28)</f>
        <v>#REF!</v>
      </c>
      <c r="AZ28" s="18"/>
      <c r="BA28" s="2" t="e">
        <f ca="1">IF(AND(AL28="Pass",AN28="Pass",AM28="Pass",AW28="Pass",AR28="Pass",AS28="Pass",AT28="Pass",AU28="Pass",AV28="Pass",AQ28="Pass",AP28="Pass",AO28="Pass",AG28="Pass",AH28="Pass",AJ28="Pass",AK28="Pass",AX28="Pass",AY28="Pass",Y28="Pass",Z28="Pass"),"Pass","Fail")</f>
        <v>#REF!</v>
      </c>
    </row>
    <row r="29" spans="1:53" s="2" customFormat="1" x14ac:dyDescent="0.2">
      <c r="A29" s="6" t="s">
        <v>297</v>
      </c>
      <c r="B29" s="558"/>
      <c r="C29" s="559"/>
      <c r="D29" s="8"/>
      <c r="E29" s="258"/>
      <c r="F29" s="258"/>
      <c r="G29" s="258"/>
      <c r="H29" s="258"/>
      <c r="I29" s="258"/>
      <c r="J29" s="262"/>
      <c r="K29" s="8"/>
      <c r="L29" s="262"/>
      <c r="M29" s="262"/>
      <c r="N29" s="262"/>
      <c r="O29" s="262"/>
      <c r="P29" s="262"/>
      <c r="Q29" s="262"/>
      <c r="R29" s="8"/>
      <c r="S29" s="8"/>
      <c r="T29" s="7"/>
      <c r="U29" s="42"/>
      <c r="V29" s="8"/>
      <c r="W29" s="13"/>
      <c r="X29" s="8"/>
      <c r="Y29" s="13"/>
      <c r="Z29" s="13"/>
      <c r="AA29" s="8"/>
      <c r="AB29" s="7"/>
      <c r="AC29" s="42"/>
      <c r="AD29" s="8"/>
      <c r="AE29" s="13"/>
      <c r="AF29" s="8"/>
      <c r="AG29" s="13"/>
      <c r="AH29" s="13"/>
      <c r="AI29" s="8"/>
      <c r="AJ29" s="13"/>
      <c r="AK29" s="13"/>
      <c r="AL29" s="13"/>
      <c r="AM29" s="13"/>
      <c r="AN29" s="13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10"/>
    </row>
    <row r="30" spans="1:53" s="2" customFormat="1" x14ac:dyDescent="0.2">
      <c r="A30" s="579" t="s">
        <v>72</v>
      </c>
      <c r="B30" s="580"/>
      <c r="C30" s="574"/>
      <c r="D30" s="44"/>
      <c r="E30" s="259"/>
      <c r="F30" s="259"/>
      <c r="G30" s="259"/>
      <c r="H30" s="259"/>
      <c r="I30" s="259"/>
      <c r="J30" s="263"/>
      <c r="K30" s="43"/>
      <c r="L30" s="263"/>
      <c r="M30" s="263"/>
      <c r="N30" s="263"/>
      <c r="O30" s="263"/>
      <c r="P30" s="263"/>
      <c r="Q30" s="263"/>
      <c r="R30" s="43"/>
      <c r="S30" s="485"/>
      <c r="T30" s="67"/>
      <c r="U30" s="485" t="s">
        <v>274</v>
      </c>
      <c r="V30" s="487" t="e">
        <f>MIN('DDR2 Clocks - 4L'!$O$13:$O$14)</f>
        <v>#REF!</v>
      </c>
      <c r="W30" s="486" t="e">
        <f>MAX('DDR2 Clocks - 4L'!$O$13:$O$14)</f>
        <v>#REF!</v>
      </c>
      <c r="X30" s="54"/>
      <c r="Y30" s="54"/>
      <c r="Z30" s="54"/>
      <c r="AA30" s="485"/>
      <c r="AB30" s="67"/>
      <c r="AC30" s="485" t="s">
        <v>334</v>
      </c>
      <c r="AD30" s="487" t="e">
        <f>MIN('DDR2 Clocks - 4L'!$O$15:$O$16)</f>
        <v>#REF!</v>
      </c>
      <c r="AE30" s="486" t="e">
        <f>MAX('DDR2 Clocks - 4L'!$O$15:$O$16)</f>
        <v>#REF!</v>
      </c>
      <c r="AF30" s="54"/>
      <c r="AG30" s="54"/>
      <c r="AH30" s="54"/>
      <c r="AI30" s="485"/>
      <c r="AJ30" s="54"/>
      <c r="AK30" s="54"/>
      <c r="AL30" s="54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8"/>
    </row>
    <row r="31" spans="1:53" s="2" customFormat="1" x14ac:dyDescent="0.2">
      <c r="A31" s="6" t="s">
        <v>298</v>
      </c>
      <c r="B31" s="581"/>
      <c r="C31" s="575"/>
      <c r="D31" s="51"/>
      <c r="E31" s="260"/>
      <c r="F31" s="260"/>
      <c r="G31" s="260"/>
      <c r="H31" s="260"/>
      <c r="I31" s="260"/>
      <c r="J31" s="264"/>
      <c r="K31" s="45"/>
      <c r="L31" s="264"/>
      <c r="M31" s="264"/>
      <c r="N31" s="264"/>
      <c r="O31" s="264"/>
      <c r="P31" s="264"/>
      <c r="Q31" s="264"/>
      <c r="R31" s="45"/>
      <c r="S31" s="55"/>
      <c r="T31" s="45"/>
      <c r="U31" s="45"/>
      <c r="V31" s="55"/>
      <c r="W31" s="56"/>
      <c r="X31" s="55"/>
      <c r="Y31" s="45"/>
      <c r="Z31" s="45"/>
      <c r="AA31" s="55"/>
      <c r="AB31" s="45"/>
      <c r="AC31" s="45"/>
      <c r="AD31" s="55"/>
      <c r="AE31" s="56"/>
      <c r="AF31" s="55"/>
      <c r="AG31" s="45"/>
      <c r="AH31" s="45"/>
      <c r="AI31" s="55"/>
      <c r="AJ31" s="45"/>
      <c r="AK31" s="45"/>
      <c r="AL31" s="45"/>
      <c r="AM31" s="55"/>
      <c r="AN31" s="55"/>
      <c r="AO31" s="55"/>
      <c r="AP31" s="55"/>
      <c r="AQ31" s="55"/>
      <c r="AR31" s="55"/>
      <c r="AS31" s="55"/>
      <c r="AT31" s="55"/>
      <c r="AU31" s="55"/>
      <c r="AV31" s="55"/>
      <c r="AW31" s="55"/>
      <c r="AX31" s="55"/>
      <c r="AY31" s="55"/>
      <c r="AZ31" s="57"/>
    </row>
    <row r="32" spans="1:53" s="2" customFormat="1" x14ac:dyDescent="0.2">
      <c r="A32" s="578" t="s">
        <v>148</v>
      </c>
      <c r="B32" s="573" t="s">
        <v>501</v>
      </c>
      <c r="C32" s="562">
        <v>583.81889763779532</v>
      </c>
      <c r="D32" s="16"/>
      <c r="E32" s="17">
        <v>22.63</v>
      </c>
      <c r="F32" s="17">
        <v>0</v>
      </c>
      <c r="G32">
        <v>1503.71</v>
      </c>
      <c r="H32">
        <v>0</v>
      </c>
      <c r="I32">
        <v>794.79</v>
      </c>
      <c r="J32">
        <v>44.57</v>
      </c>
      <c r="K32" s="17">
        <v>40</v>
      </c>
      <c r="L32">
        <v>120</v>
      </c>
      <c r="M32">
        <v>924.3</v>
      </c>
      <c r="N32" s="271">
        <v>200</v>
      </c>
      <c r="O32" s="271">
        <v>175</v>
      </c>
      <c r="P32">
        <v>111.16</v>
      </c>
      <c r="Q32">
        <v>150</v>
      </c>
      <c r="R32" s="58"/>
      <c r="S32" s="18"/>
      <c r="T32" s="441">
        <f>SUM(E32:G32,I32:N32,P32)</f>
        <v>3761.16</v>
      </c>
      <c r="U32" s="441" t="e">
        <f>T32+IF($B$2="mil",1,0.0254)*$C32</f>
        <v>#REF!</v>
      </c>
      <c r="V32" s="441" t="e">
        <f>MAX(V$30:W$30)+IF($B$2="mil",1,0.0254)*DDR2Specs!$E$2</f>
        <v>#REF!</v>
      </c>
      <c r="W32" s="441" t="e">
        <f>MIN(V$30:W$30)+IF($B$2="mil",1,0.0254)*DDR2Specs!$F$2</f>
        <v>#REF!</v>
      </c>
      <c r="X32" s="18"/>
      <c r="Y32" s="534" t="e">
        <f>IF($U32&lt;$V32,$V32-$U32,"Pass")</f>
        <v>#REF!</v>
      </c>
      <c r="Z32" s="447" t="e">
        <f>IF($U32&gt;$W32,$U32-$W32,"Pass")</f>
        <v>#REF!</v>
      </c>
      <c r="AA32" s="18"/>
      <c r="AB32" s="441">
        <f>SUM(E32:G32,I32:M32,O32,Q32)</f>
        <v>3775</v>
      </c>
      <c r="AC32" s="441" t="e">
        <f>AB32+IF($B$2="mil",1,0.0254)*$C32</f>
        <v>#REF!</v>
      </c>
      <c r="AD32" s="441" t="e">
        <f>MAX(AD$30:AE$30)+IF($B$2="mil",1,0.0254)*DDR2Specs!$E$2</f>
        <v>#REF!</v>
      </c>
      <c r="AE32" s="441" t="e">
        <f>MIN(AD$30:AE$30)+IF($B$2="mil",1,0.0254)*DDR2Specs!$F$2</f>
        <v>#REF!</v>
      </c>
      <c r="AF32" s="18"/>
      <c r="AG32" s="534" t="e">
        <f>IF($AC32&lt;$AD32,$AD32-$AC32,"Pass")</f>
        <v>#REF!</v>
      </c>
      <c r="AH32" s="447" t="e">
        <f>IF($AC32&gt;$AE32,$AC32-$AE32,"Pass")</f>
        <v>#REF!</v>
      </c>
      <c r="AI32" s="18"/>
      <c r="AJ32" s="447" t="e">
        <f>IF((ABS($U32-$U33)&lt;=IF($B$2="mil",1,0.0254)*5),"Pass",ABS($U32-$U33))</f>
        <v>#REF!</v>
      </c>
      <c r="AK32" s="447" t="e">
        <f>IF((ABS($U32-$U33)&lt;=IF($B$2="mil",1,0.0254)*10),"Pass",ABS($U32-$U33))</f>
        <v>#REF!</v>
      </c>
      <c r="AL32" s="447" t="e">
        <f>IF($E32&lt;=IF($B$2="mil",1,0.0254)*50,"Pass",IF($B$2="mil",1,0.0254)*50-$E32)</f>
        <v>#REF!</v>
      </c>
      <c r="AM32" s="447" t="e">
        <f>IF($F32&lt;=IF($B$2="mil",1,0.0254)*500,"Pass",IF($B$2="mil",1,0.0254)*500-$F32)</f>
        <v>#REF!</v>
      </c>
      <c r="AN32" s="447" t="e">
        <f>IF($H32&lt;=IF($B$2="mil",1,0.0254)*0,"Pass",IF($B$2="mil",1,0.0254)*0-$H32)</f>
        <v>#REF!</v>
      </c>
      <c r="AO32" s="447" t="e">
        <f>IF(($G32+$I32)&lt;=IF($B$2="mil",1,0.0254)*2750,"Pass",IF($B$2="mil",1,0.0254)*2750-($G32+I32))</f>
        <v>#REF!</v>
      </c>
      <c r="AP32" s="447" t="e">
        <f>IF($J32&lt;=IF($B$2="mil",1,0.0254)*125,"Pass",IF($B$2="mil",1,0.0254)*125-$J32)</f>
        <v>#REF!</v>
      </c>
      <c r="AQ32" s="447" t="e">
        <f>IF($L32&lt;=IF($B$2="mil",1,0.0254)*125,"Pass",IF($B$2="mil",1,0.0254)*125-$L32)</f>
        <v>#REF!</v>
      </c>
      <c r="AR32" s="447" t="e">
        <f>IF(($L32+$M32)&lt;=IF($B$2="mil",1,0.0254)*1350,"Pass",IF($B$2="mil",1,0.0254)*1350-($L32+M32))</f>
        <v>#REF!</v>
      </c>
      <c r="AS32" s="447" t="e">
        <f>IF($N32&lt;=IF($B$2="mil",1,0.0254)*650,"Pass",IF($B$2="mil",1,0.0254)*650-$N32)</f>
        <v>#REF!</v>
      </c>
      <c r="AT32" s="447" t="e">
        <f>IF($O32&lt;=IF($B$2="mil",1,0.0254)*650,"Pass",IF($B$2="mil",1,0.0254)*650-$O32)</f>
        <v>#REF!</v>
      </c>
      <c r="AU32" s="445" t="e">
        <f>IF(MAX(N32:O32)-MIN(N32:O32)&lt;=IF($B$2="mil",1,0.0254)*50,"Pass",MAX(N32:O32)-MIN(N32:O32)-IF($B$2="mil",1,0.0254)*50)</f>
        <v>#REF!</v>
      </c>
      <c r="AV32" s="447" t="e">
        <f ca="1">CheckLength2(IF($B$2="mil",1,0.0254)*800,N32,P32,0)</f>
        <v>#NAME?</v>
      </c>
      <c r="AW32" s="447" t="e">
        <f ca="1">CheckLength2(800,$O32,Q32,0)</f>
        <v>#NAME?</v>
      </c>
      <c r="AX32" s="447" t="e">
        <f>IF(AND($T32&gt;=IF($B$2="mil",1,0.0254)*500, $T32&lt;=IF($B$2="mil",1,0.0254)*5500),"Pass",IF($B$2="mil",1,0.0254)*5500-$T32)</f>
        <v>#REF!</v>
      </c>
      <c r="AY32" s="447" t="e">
        <f>IF(AND($U32&gt;=IF($B$2="mil",1,0.0254)*500, $U32&lt;=IF($B$2="mil",1,0.0254)*6000),"Pass",IF($B$2="mil",1,0.0254)*6000-$U32)</f>
        <v>#REF!</v>
      </c>
      <c r="AZ32" s="18"/>
      <c r="BA32" s="2" t="e">
        <f ca="1">IF(AND(AL32="Pass",AN32="Pass",AM32="Pass",AW32="Pass",AR32="Pass",AS32="Pass",AT32="Pass",AU32="Pass",AV32="Pass",AQ32="Pass",AP32="Pass",AO32="Pass",AG32="Pass",AH32="Pass",AJ32="Pass",AK32="Pass",AX32="Pass",AY32="Pass",Y32="Pass",Z32="Pass"),"Pass","Fail")</f>
        <v>#REF!</v>
      </c>
    </row>
    <row r="33" spans="1:63" s="2" customFormat="1" x14ac:dyDescent="0.2">
      <c r="A33" s="578" t="s">
        <v>149</v>
      </c>
      <c r="B33" s="573" t="s">
        <v>508</v>
      </c>
      <c r="C33" s="562">
        <v>583.81889763779532</v>
      </c>
      <c r="D33" s="16"/>
      <c r="E33" s="17">
        <v>22.63</v>
      </c>
      <c r="F33" s="17">
        <v>0</v>
      </c>
      <c r="G33">
        <v>1502.26</v>
      </c>
      <c r="H33">
        <v>0</v>
      </c>
      <c r="I33">
        <v>788.93</v>
      </c>
      <c r="J33">
        <v>85.78</v>
      </c>
      <c r="K33" s="17">
        <v>40</v>
      </c>
      <c r="L33">
        <v>120</v>
      </c>
      <c r="M33">
        <v>882.34</v>
      </c>
      <c r="N33" s="271">
        <v>200</v>
      </c>
      <c r="O33" s="271">
        <v>175</v>
      </c>
      <c r="P33">
        <v>116.12</v>
      </c>
      <c r="Q33">
        <v>150</v>
      </c>
      <c r="R33" s="58"/>
      <c r="S33" s="18"/>
      <c r="T33" s="441">
        <f>SUM(E33:G33,I33:N33,P33)</f>
        <v>3758.0600000000004</v>
      </c>
      <c r="U33" s="441" t="e">
        <f>T33+IF($B$2="mil",1,0.0254)*$C33</f>
        <v>#REF!</v>
      </c>
      <c r="V33" s="441" t="e">
        <f>MAX(V$30:W$30)+IF($B$2="mil",1,0.0254)*DDR2Specs!$E$2</f>
        <v>#REF!</v>
      </c>
      <c r="W33" s="441" t="e">
        <f>MIN(V$30:W$30)+IF($B$2="mil",1,0.0254)*DDR2Specs!$F$2</f>
        <v>#REF!</v>
      </c>
      <c r="X33" s="18"/>
      <c r="Y33" s="534" t="e">
        <f>IF($U33&lt;$V33,$V33-$U33,"Pass")</f>
        <v>#REF!</v>
      </c>
      <c r="Z33" s="447" t="e">
        <f>IF($U33&gt;$W33,$U33-$W33,"Pass")</f>
        <v>#REF!</v>
      </c>
      <c r="AA33" s="18"/>
      <c r="AB33" s="441">
        <f>SUM(E33:G33,I33:M33,O33,Q33)</f>
        <v>3766.9400000000005</v>
      </c>
      <c r="AC33" s="441" t="e">
        <f>AB33+IF($B$2="mil",1,0.0254)*$C33</f>
        <v>#REF!</v>
      </c>
      <c r="AD33" s="441" t="e">
        <f>MAX(AD$30:AE$30)+IF($B$2="mil",1,0.0254)*DDR2Specs!$E$2</f>
        <v>#REF!</v>
      </c>
      <c r="AE33" s="441" t="e">
        <f>MIN(AD$30:AE$30)+IF($B$2="mil",1,0.0254)*DDR2Specs!$F$2</f>
        <v>#REF!</v>
      </c>
      <c r="AF33" s="18"/>
      <c r="AG33" s="534" t="e">
        <f>IF($AC33&lt;$AD33,$AD33-$AC33,"Pass")</f>
        <v>#REF!</v>
      </c>
      <c r="AH33" s="447" t="e">
        <f>IF($AC33&gt;$AE33,$AC33-$AE33,"Pass")</f>
        <v>#REF!</v>
      </c>
      <c r="AI33" s="18"/>
      <c r="AJ33" s="447" t="e">
        <f>IF((ABS($U33-$U32)&lt;=IF($B$2="mil",1,0.0254)*5),"Pass",ABS($U33-$U32))</f>
        <v>#REF!</v>
      </c>
      <c r="AK33" s="447" t="e">
        <f>IF((ABS($U33-$U32)&lt;=IF($B$2="mil",1,0.0254)*10),"Pass",ABS($U33-$U32))</f>
        <v>#REF!</v>
      </c>
      <c r="AL33" s="447" t="e">
        <f>IF($E33&lt;=IF($B$2="mil",1,0.0254)*50,"Pass",IF($B$2="mil",1,0.0254)*50-$E33)</f>
        <v>#REF!</v>
      </c>
      <c r="AM33" s="447" t="e">
        <f>IF($F33&lt;=IF($B$2="mil",1,0.0254)*500,"Pass",IF($B$2="mil",1,0.0254)*500-$F33)</f>
        <v>#REF!</v>
      </c>
      <c r="AN33" s="447" t="e">
        <f>IF($H33&lt;=IF($B$2="mil",1,0.0254)*0,"Pass",IF($B$2="mil",1,0.0254)*0-$H33)</f>
        <v>#REF!</v>
      </c>
      <c r="AO33" s="447" t="e">
        <f>IF(($G33+$I33)&lt;=IF($B$2="mil",1,0.0254)*2750,"Pass",IF($B$2="mil",1,0.0254)*2750-($G33+I33))</f>
        <v>#REF!</v>
      </c>
      <c r="AP33" s="447" t="e">
        <f>IF($J33&lt;=IF($B$2="mil",1,0.0254)*125,"Pass",IF($B$2="mil",1,0.0254)*125-$J33)</f>
        <v>#REF!</v>
      </c>
      <c r="AQ33" s="447" t="e">
        <f>IF($L33&lt;=IF($B$2="mil",1,0.0254)*125,"Pass",IF($B$2="mil",1,0.0254)*125-$L33)</f>
        <v>#REF!</v>
      </c>
      <c r="AR33" s="447" t="e">
        <f>IF(($L33+$M33)&lt;=IF($B$2="mil",1,0.0254)*1350,"Pass",IF($B$2="mil",1,0.0254)*1350-($L33+M33))</f>
        <v>#REF!</v>
      </c>
      <c r="AS33" s="447" t="e">
        <f>IF($N33&lt;=IF($B$2="mil",1,0.0254)*650,"Pass",IF($B$2="mil",1,0.0254)*650-$N33)</f>
        <v>#REF!</v>
      </c>
      <c r="AT33" s="447" t="e">
        <f>IF($O33&lt;=IF($B$2="mil",1,0.0254)*650,"Pass",IF($B$2="mil",1,0.0254)*650-$O33)</f>
        <v>#REF!</v>
      </c>
      <c r="AU33" s="445" t="e">
        <f>IF(MAX(N33:O33)-MIN(N33:O33)&lt;=IF($B$2="mil",1,0.0254)*50,"Pass",MAX(N33:O33)-MIN(N33:O33)-IF($B$2="mil",1,0.0254)*50)</f>
        <v>#REF!</v>
      </c>
      <c r="AV33" s="447" t="e">
        <f ca="1">CheckLength2(IF($B$2="mil",1,0.0254)*800,N33,P33,0)</f>
        <v>#NAME?</v>
      </c>
      <c r="AW33" s="447" t="e">
        <f ca="1">CheckLength2(800,$O33,Q33,0)</f>
        <v>#NAME?</v>
      </c>
      <c r="AX33" s="447" t="e">
        <f>IF(AND($T33&gt;=IF($B$2="mil",1,0.0254)*500, $T33&lt;=IF($B$2="mil",1,0.0254)*5500),"Pass",IF($B$2="mil",1,0.0254)*5500-$T33)</f>
        <v>#REF!</v>
      </c>
      <c r="AY33" s="447" t="e">
        <f>IF(AND($U33&gt;=IF($B$2="mil",1,0.0254)*500, $U33&lt;=IF($B$2="mil",1,0.0254)*6000),"Pass",IF($B$2="mil",1,0.0254)*6000-$U33)</f>
        <v>#REF!</v>
      </c>
      <c r="AZ33" s="18"/>
      <c r="BA33" s="2" t="e">
        <f ca="1">IF(AND(AL33="Pass",AN33="Pass",AM33="Pass",AW33="Pass",AR33="Pass",AS33="Pass",AT33="Pass",AU33="Pass",AV33="Pass",AQ33="Pass",AP33="Pass",AO33="Pass",AG33="Pass",AH33="Pass",AJ33="Pass",AK33="Pass",AX33="Pass",AY33="Pass",Y33="Pass",Z33="Pass"),"Pass","Fail")</f>
        <v>#REF!</v>
      </c>
    </row>
    <row r="34" spans="1:63" s="2" customFormat="1" x14ac:dyDescent="0.2">
      <c r="A34" s="6" t="s">
        <v>297</v>
      </c>
      <c r="B34" s="558"/>
      <c r="C34" s="559"/>
      <c r="D34" s="8"/>
      <c r="E34" s="258"/>
      <c r="F34" s="258"/>
      <c r="G34" s="258"/>
      <c r="H34" s="258"/>
      <c r="I34" s="258"/>
      <c r="J34" s="262"/>
      <c r="K34" s="8"/>
      <c r="L34" s="262"/>
      <c r="M34" s="262"/>
      <c r="N34" s="262"/>
      <c r="O34" s="262"/>
      <c r="P34" s="262"/>
      <c r="Q34" s="262"/>
      <c r="R34" s="8"/>
      <c r="S34" s="8"/>
      <c r="T34" s="7"/>
      <c r="U34" s="42"/>
      <c r="V34" s="8"/>
      <c r="W34" s="13"/>
      <c r="X34" s="8"/>
      <c r="Y34" s="13"/>
      <c r="Z34" s="13"/>
      <c r="AA34" s="8"/>
      <c r="AB34" s="7"/>
      <c r="AC34" s="42"/>
      <c r="AD34" s="8"/>
      <c r="AE34" s="13"/>
      <c r="AF34" s="8"/>
      <c r="AG34" s="13"/>
      <c r="AH34" s="13"/>
      <c r="AI34" s="8"/>
      <c r="AJ34" s="13"/>
      <c r="AK34" s="13"/>
      <c r="AL34" s="13"/>
      <c r="AM34" s="13"/>
      <c r="AN34" s="13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10"/>
    </row>
    <row r="35" spans="1:63" s="2" customFormat="1" x14ac:dyDescent="0.2">
      <c r="A35" s="579" t="s">
        <v>72</v>
      </c>
      <c r="B35" s="580"/>
      <c r="C35" s="574"/>
      <c r="D35" s="44"/>
      <c r="E35" s="259"/>
      <c r="F35" s="259"/>
      <c r="G35" s="259"/>
      <c r="H35" s="259"/>
      <c r="I35" s="259"/>
      <c r="J35" s="263"/>
      <c r="K35" s="43"/>
      <c r="L35" s="263"/>
      <c r="M35" s="263"/>
      <c r="N35" s="263"/>
      <c r="O35" s="263"/>
      <c r="P35" s="263"/>
      <c r="Q35" s="263"/>
      <c r="R35" s="43"/>
      <c r="S35" s="485"/>
      <c r="T35" s="67"/>
      <c r="U35" s="485" t="s">
        <v>273</v>
      </c>
      <c r="V35" s="487" t="e">
        <f>MIN('DDR2 Clocks - 4L'!$O$17:$O$18)</f>
        <v>#REF!</v>
      </c>
      <c r="W35" s="486" t="e">
        <f>MAX('DDR2 Clocks - 4L'!$O$17:$O$18)</f>
        <v>#REF!</v>
      </c>
      <c r="X35" s="54"/>
      <c r="Y35" s="54"/>
      <c r="Z35" s="54"/>
      <c r="AA35" s="485"/>
      <c r="AB35" s="67"/>
      <c r="AC35" s="485" t="s">
        <v>335</v>
      </c>
      <c r="AD35" s="487" t="e">
        <f>MIN('DDR2 Clocks - 4L'!$O$19:$O$20)</f>
        <v>#REF!</v>
      </c>
      <c r="AE35" s="486" t="e">
        <f>MAX('DDR2 Clocks - 4L'!$O$19:$O$20)</f>
        <v>#REF!</v>
      </c>
      <c r="AF35" s="54"/>
      <c r="AG35" s="54"/>
      <c r="AH35" s="54"/>
      <c r="AI35" s="485"/>
      <c r="AJ35" s="54"/>
      <c r="AK35" s="54"/>
      <c r="AL35" s="54"/>
      <c r="AM35" s="43"/>
      <c r="AN35" s="43"/>
      <c r="AO35" s="43"/>
      <c r="AP35" s="43"/>
      <c r="AQ35" s="43"/>
      <c r="AR35" s="43"/>
      <c r="AS35" s="43"/>
      <c r="AT35" s="43"/>
      <c r="AU35" s="43"/>
      <c r="AV35" s="43"/>
      <c r="AW35" s="43"/>
      <c r="AX35" s="43"/>
      <c r="AY35" s="43"/>
      <c r="AZ35" s="48"/>
    </row>
    <row r="36" spans="1:63" s="2" customFormat="1" x14ac:dyDescent="0.2">
      <c r="A36" s="6" t="s">
        <v>298</v>
      </c>
      <c r="B36" s="583"/>
      <c r="C36" s="575"/>
      <c r="D36" s="51"/>
      <c r="E36" s="260"/>
      <c r="F36" s="260"/>
      <c r="G36" s="260"/>
      <c r="H36" s="260"/>
      <c r="I36" s="260"/>
      <c r="J36" s="264"/>
      <c r="K36" s="45"/>
      <c r="L36" s="264"/>
      <c r="M36" s="264"/>
      <c r="N36" s="264"/>
      <c r="O36" s="264"/>
      <c r="P36" s="264"/>
      <c r="Q36" s="264"/>
      <c r="R36" s="45"/>
      <c r="S36" s="55"/>
      <c r="T36" s="45"/>
      <c r="U36" s="45"/>
      <c r="V36" s="55"/>
      <c r="W36" s="56"/>
      <c r="X36" s="55"/>
      <c r="Y36" s="45"/>
      <c r="Z36" s="45"/>
      <c r="AA36" s="55"/>
      <c r="AB36" s="45"/>
      <c r="AC36" s="45"/>
      <c r="AD36" s="55"/>
      <c r="AE36" s="56"/>
      <c r="AF36" s="55"/>
      <c r="AG36" s="45"/>
      <c r="AH36" s="45"/>
      <c r="AI36" s="55"/>
      <c r="AJ36" s="45"/>
      <c r="AK36" s="45"/>
      <c r="AL36" s="45"/>
      <c r="AM36" s="55"/>
      <c r="AN36" s="55"/>
      <c r="AO36" s="55"/>
      <c r="AP36" s="55"/>
      <c r="AQ36" s="55"/>
      <c r="AR36" s="55"/>
      <c r="AS36" s="55"/>
      <c r="AT36" s="55"/>
      <c r="AU36" s="55"/>
      <c r="AV36" s="55"/>
      <c r="AW36" s="55"/>
      <c r="AX36" s="55"/>
      <c r="AY36" s="55"/>
      <c r="AZ36" s="57"/>
    </row>
    <row r="37" spans="1:63" s="2" customFormat="1" x14ac:dyDescent="0.2">
      <c r="A37" s="578" t="s">
        <v>150</v>
      </c>
      <c r="B37" s="573" t="s">
        <v>502</v>
      </c>
      <c r="C37" s="562">
        <v>762.24409448818903</v>
      </c>
      <c r="D37" s="16"/>
      <c r="E37" s="17">
        <v>22.63</v>
      </c>
      <c r="F37" s="17">
        <v>0</v>
      </c>
      <c r="G37">
        <v>1600.88</v>
      </c>
      <c r="H37">
        <v>0</v>
      </c>
      <c r="I37">
        <v>804.85</v>
      </c>
      <c r="J37">
        <v>44.57</v>
      </c>
      <c r="K37" s="17">
        <v>40</v>
      </c>
      <c r="L37">
        <v>90.75</v>
      </c>
      <c r="M37">
        <v>1100.57</v>
      </c>
      <c r="N37" s="271">
        <v>0</v>
      </c>
      <c r="O37" s="271">
        <v>0</v>
      </c>
      <c r="P37">
        <v>95.38</v>
      </c>
      <c r="Q37">
        <v>94.21</v>
      </c>
      <c r="R37" s="58"/>
      <c r="S37" s="18"/>
      <c r="T37" s="441">
        <f>SUM(E37:G37,I37:N37,P37)</f>
        <v>3799.63</v>
      </c>
      <c r="U37" s="441" t="e">
        <f>T37+IF($B$2="mil",1,0.0254)*$C37</f>
        <v>#REF!</v>
      </c>
      <c r="V37" s="441" t="e">
        <f>MAX(V$35:W$35)+IF($B$2="mil",1,0.0254)*DDR2Specs!$E$2</f>
        <v>#REF!</v>
      </c>
      <c r="W37" s="441" t="e">
        <f>MIN(V$35:W$35)+IF($B$2="mil",1,0.0254)*DDR2Specs!$F$2</f>
        <v>#REF!</v>
      </c>
      <c r="X37" s="18"/>
      <c r="Y37" s="534" t="e">
        <f>IF($U37&lt;$V37,$V37-$U37,"Pass")</f>
        <v>#REF!</v>
      </c>
      <c r="Z37" s="447" t="e">
        <f>IF($U37&gt;$W37,$U37-$W37,"Pass")</f>
        <v>#REF!</v>
      </c>
      <c r="AA37" s="18"/>
      <c r="AB37" s="441">
        <f>SUM(E37:G37,I37:M37,O37,Q37)</f>
        <v>3798.46</v>
      </c>
      <c r="AC37" s="441" t="e">
        <f>AB37+IF($B$2="mil",1,0.0254)*$C37</f>
        <v>#REF!</v>
      </c>
      <c r="AD37" s="441" t="e">
        <f>MAX(AD$35:AE$35)+IF($B$2="mil",1,0.0254)*DDR2Specs!$E$2</f>
        <v>#REF!</v>
      </c>
      <c r="AE37" s="441" t="e">
        <f>MIN(AD$35:AE$35)+IF($B$2="mil",1,0.0254)*DDR2Specs!$F$2</f>
        <v>#REF!</v>
      </c>
      <c r="AF37" s="18"/>
      <c r="AG37" s="534" t="e">
        <f>IF($AC37&lt;$AD37,$AD37-$AC37,"Pass")</f>
        <v>#REF!</v>
      </c>
      <c r="AH37" s="447" t="e">
        <f>IF($AC37&gt;$AE37,$AC37-$AE37,"Pass")</f>
        <v>#REF!</v>
      </c>
      <c r="AI37" s="18"/>
      <c r="AJ37" s="447" t="e">
        <f>IF((ABS($U37-$U38)&lt;=IF($B$2="mil",1,0.0254)*5),"Pass",ABS($U37-$U38))</f>
        <v>#REF!</v>
      </c>
      <c r="AK37" s="447" t="e">
        <f>IF((ABS($AC37-$AC38)&lt;=IF($B$2="mil",1,0.0254)*10),"Pass",ABS($AC37-$AC38))</f>
        <v>#REF!</v>
      </c>
      <c r="AL37" s="447" t="e">
        <f>IF($E37&lt;=IF($B$2="mil",1,0.0254)*50,"Pass",IF($B$2="mil",1,0.0254)*50-$E37)</f>
        <v>#REF!</v>
      </c>
      <c r="AM37" s="447" t="e">
        <f>IF($F37&lt;=IF($B$2="mil",1,0.0254)*500,"Pass",IF($B$2="mil",1,0.0254)*500-$F37)</f>
        <v>#REF!</v>
      </c>
      <c r="AN37" s="447" t="e">
        <f>IF($H37&lt;=IF($B$2="mil",1,0.0254)*0,"Pass",IF($B$2="mil",1,0.0254)*0-$H37)</f>
        <v>#REF!</v>
      </c>
      <c r="AO37" s="447" t="e">
        <f>IF(($G37+$I37)&lt;=IF($B$2="mil",1,0.0254)*2750,"Pass",IF($B$2="mil",1,0.0254)*2750-($G37+I37))</f>
        <v>#REF!</v>
      </c>
      <c r="AP37" s="447" t="e">
        <f>IF($J37&lt;=IF($B$2="mil",1,0.0254)*125,"Pass",IF($B$2="mil",1,0.0254)*125-$J37)</f>
        <v>#REF!</v>
      </c>
      <c r="AQ37" s="447" t="e">
        <f>IF($L37&lt;=IF($B$2="mil",1,0.0254)*125,"Pass",IF($B$2="mil",1,0.0254)*125-$L37)</f>
        <v>#REF!</v>
      </c>
      <c r="AR37" s="447" t="e">
        <f>IF(($L37+$M37)&lt;=IF($B$2="mil",1,0.0254)*1350,"Pass",IF($B$2="mil",1,0.0254)*1350-($L37+M37))</f>
        <v>#REF!</v>
      </c>
      <c r="AS37" s="447" t="e">
        <f>IF($N37&lt;=IF($B$2="mil",1,0.0254)*650,"Pass",IF($B$2="mil",1,0.0254)*650-$N37)</f>
        <v>#REF!</v>
      </c>
      <c r="AT37" s="447" t="e">
        <f>IF($O37&lt;=IF($B$2="mil",1,0.0254)*650,"Pass",IF($B$2="mil",1,0.0254)*650-$O37)</f>
        <v>#REF!</v>
      </c>
      <c r="AU37" s="445" t="e">
        <f>IF(MAX(N37:O37)-MIN(N37:O37)&lt;=IF($B$2="mil",1,0.0254)*50,"Pass",MAX(N37:O37)-MIN(N37:O37)-IF($B$2="mil",1,0.0254)*50)</f>
        <v>#REF!</v>
      </c>
      <c r="AV37" s="447" t="e">
        <f ca="1">CheckLength2(IF($B$2="mil",1,0.0254)*800,N37,P37,0)</f>
        <v>#NAME?</v>
      </c>
      <c r="AW37" s="447" t="e">
        <f ca="1">CheckLength2(800,$O37,Q37,0)</f>
        <v>#NAME?</v>
      </c>
      <c r="AX37" s="447" t="e">
        <f>IF(AND($T37&gt;=IF($B$2="mil",1,0.0254)*500, $T37&lt;=IF($B$2="mil",1,0.0254)*5500),"Pass",IF($B$2="mil",1,0.0254)*5500-$T37)</f>
        <v>#REF!</v>
      </c>
      <c r="AY37" s="447" t="e">
        <f>IF(AND($U37&gt;=IF($B$2="mil",1,0.0254)*500, $U37&lt;=IF($B$2="mil",1,0.0254)*6000),"Pass",IF($B$2="mil",1,0.0254)*6000-$U37)</f>
        <v>#REF!</v>
      </c>
      <c r="AZ37" s="18"/>
      <c r="BA37" s="2" t="e">
        <f ca="1">IF(AND(AL37="Pass",AN37="Pass",AM37="Pass",AW37="Pass",AR37="Pass",AS37="Pass",AT37="Pass",AU37="Pass",AV37="Pass",AQ37="Pass",AP37="Pass",AO37="Pass",AG37="Pass",AH37="Pass",AJ37="Pass",AK37="Pass",AX37="Pass",AY37="Pass",Y37="Pass",Z37="Pass"),"Pass","Fail")</f>
        <v>#REF!</v>
      </c>
    </row>
    <row r="38" spans="1:63" s="2" customFormat="1" x14ac:dyDescent="0.2">
      <c r="A38" s="578" t="s">
        <v>151</v>
      </c>
      <c r="B38" s="573" t="s">
        <v>509</v>
      </c>
      <c r="C38" s="562">
        <v>762.24409448818903</v>
      </c>
      <c r="D38" s="16"/>
      <c r="E38" s="17">
        <v>22.63</v>
      </c>
      <c r="F38" s="17">
        <v>0</v>
      </c>
      <c r="G38">
        <v>1602.58</v>
      </c>
      <c r="H38">
        <v>0</v>
      </c>
      <c r="I38">
        <v>804.93</v>
      </c>
      <c r="J38">
        <v>43.4</v>
      </c>
      <c r="K38" s="17">
        <v>40</v>
      </c>
      <c r="L38">
        <v>92.41</v>
      </c>
      <c r="M38">
        <v>1080.57</v>
      </c>
      <c r="N38" s="271">
        <v>0</v>
      </c>
      <c r="O38" s="271">
        <v>0</v>
      </c>
      <c r="P38">
        <v>114.95</v>
      </c>
      <c r="Q38">
        <v>114.36</v>
      </c>
      <c r="R38" s="58"/>
      <c r="S38" s="18"/>
      <c r="T38" s="441">
        <f>SUM(E38:G38,I38:N38,P38)</f>
        <v>3801.4699999999993</v>
      </c>
      <c r="U38" s="441" t="e">
        <f>T38+IF($B$2="mil",1,0.0254)*$C38</f>
        <v>#REF!</v>
      </c>
      <c r="V38" s="441" t="e">
        <f>MAX(V$35:W$35)+IF($B$2="mil",1,0.0254)*DDR2Specs!$E$2</f>
        <v>#REF!</v>
      </c>
      <c r="W38" s="441" t="e">
        <f>MIN(V$35:W$35)+IF($B$2="mil",1,0.0254)*DDR2Specs!$F$2</f>
        <v>#REF!</v>
      </c>
      <c r="X38" s="18"/>
      <c r="Y38" s="534" t="e">
        <f>IF($U38&lt;$V38,$V38-$U38,"Pass")</f>
        <v>#REF!</v>
      </c>
      <c r="Z38" s="447" t="e">
        <f>IF($U38&gt;$W38,$U38-$W38,"Pass")</f>
        <v>#REF!</v>
      </c>
      <c r="AA38" s="18"/>
      <c r="AB38" s="441">
        <f>SUM(E38:G38,I38:M38,O38,Q38)</f>
        <v>3800.8799999999997</v>
      </c>
      <c r="AC38" s="441" t="e">
        <f>AB38+IF($B$2="mil",1,0.0254)*$C38</f>
        <v>#REF!</v>
      </c>
      <c r="AD38" s="441" t="e">
        <f>MAX(AD$35:AE$35)+IF($B$2="mil",1,0.0254)*DDR2Specs!$E$2</f>
        <v>#REF!</v>
      </c>
      <c r="AE38" s="441" t="e">
        <f>MIN(AD$35:AE$35)+IF($B$2="mil",1,0.0254)*DDR2Specs!$F$2</f>
        <v>#REF!</v>
      </c>
      <c r="AF38" s="18"/>
      <c r="AG38" s="534" t="e">
        <f>IF($AC38&lt;$AD38,$AD38-$AC38,"Pass")</f>
        <v>#REF!</v>
      </c>
      <c r="AH38" s="447" t="e">
        <f>IF($AC38&gt;$AE38,$AC38-$AE38,"Pass")</f>
        <v>#REF!</v>
      </c>
      <c r="AI38" s="18"/>
      <c r="AJ38" s="447" t="e">
        <f>IF((ABS($U38-$U37)&lt;=IF($B$2="mil",1,0.0254)*5),"Pass",ABS($U38-$U37))</f>
        <v>#REF!</v>
      </c>
      <c r="AK38" s="447" t="e">
        <f>IF((ABS($AC38-$AC37)&lt;=IF($B$2="mil",1,0.0254)*10),"Pass",ABS($AC38-$AC37))</f>
        <v>#REF!</v>
      </c>
      <c r="AL38" s="447" t="e">
        <f>IF($E38&lt;=IF($B$2="mil",1,0.0254)*50,"Pass",IF($B$2="mil",1,0.0254)*50-$E38)</f>
        <v>#REF!</v>
      </c>
      <c r="AM38" s="447" t="e">
        <f>IF($F38&lt;=IF($B$2="mil",1,0.0254)*500,"Pass",IF($B$2="mil",1,0.0254)*500-$F38)</f>
        <v>#REF!</v>
      </c>
      <c r="AN38" s="447" t="e">
        <f>IF($H38&lt;=IF($B$2="mil",1,0.0254)*0,"Pass",IF($B$2="mil",1,0.0254)*0-$H38)</f>
        <v>#REF!</v>
      </c>
      <c r="AO38" s="447" t="e">
        <f>IF(($G38+$I38)&lt;=IF($B$2="mil",1,0.0254)*2750,"Pass",IF($B$2="mil",1,0.0254)*2750-($G38+I38))</f>
        <v>#REF!</v>
      </c>
      <c r="AP38" s="447" t="e">
        <f>IF($J38&lt;=IF($B$2="mil",1,0.0254)*125,"Pass",IF($B$2="mil",1,0.0254)*125-$J38)</f>
        <v>#REF!</v>
      </c>
      <c r="AQ38" s="447" t="e">
        <f>IF($L38&lt;=IF($B$2="mil",1,0.0254)*125,"Pass",IF($B$2="mil",1,0.0254)*125-$L38)</f>
        <v>#REF!</v>
      </c>
      <c r="AR38" s="447" t="e">
        <f>IF(($L38+$M38)&lt;=IF($B$2="mil",1,0.0254)*1350,"Pass",IF($B$2="mil",1,0.0254)*1350-($L38+M38))</f>
        <v>#REF!</v>
      </c>
      <c r="AS38" s="447" t="e">
        <f>IF($N38&lt;=IF($B$2="mil",1,0.0254)*650,"Pass",IF($B$2="mil",1,0.0254)*650-$N38)</f>
        <v>#REF!</v>
      </c>
      <c r="AT38" s="447" t="e">
        <f>IF($O38&lt;=IF($B$2="mil",1,0.0254)*650,"Pass",IF($B$2="mil",1,0.0254)*650-$O38)</f>
        <v>#REF!</v>
      </c>
      <c r="AU38" s="445" t="e">
        <f>IF(MAX(N38:O38)-MIN(N38:O38)&lt;=IF($B$2="mil",1,0.0254)*50,"Pass",MAX(N38:O38)-MIN(N38:O38)-IF($B$2="mil",1,0.0254)*50)</f>
        <v>#REF!</v>
      </c>
      <c r="AV38" s="447" t="e">
        <f ca="1">CheckLength2(IF($B$2="mil",1,0.0254)*800,N38,P38,0)</f>
        <v>#NAME?</v>
      </c>
      <c r="AW38" s="447" t="e">
        <f ca="1">CheckLength2(800,$O38,Q38,0)</f>
        <v>#NAME?</v>
      </c>
      <c r="AX38" s="447" t="e">
        <f>IF(AND($T38&gt;=IF($B$2="mil",1,0.0254)*500, $T38&lt;=IF($B$2="mil",1,0.0254)*5500),"Pass",IF($B$2="mil",1,0.0254)*5500-$T38)</f>
        <v>#REF!</v>
      </c>
      <c r="AY38" s="447" t="e">
        <f>IF(AND($U38&gt;=IF($B$2="mil",1,0.0254)*500, $U38&lt;=IF($B$2="mil",1,0.0254)*6000),"Pass",IF($B$2="mil",1,0.0254)*6000-$U38)</f>
        <v>#REF!</v>
      </c>
      <c r="AZ38" s="18"/>
      <c r="BA38" s="2" t="e">
        <f ca="1">IF(AND(AL38="Pass",AN38="Pass",AM38="Pass",AW38="Pass",AR38="Pass",AS38="Pass",AT38="Pass",AU38="Pass",AV38="Pass",AQ38="Pass",AP38="Pass",AO38="Pass",AG38="Pass",AH38="Pass",AJ38="Pass",AK38="Pass",AX38="Pass",AY38="Pass",Y38="Pass",Z38="Pass"),"Pass","Fail")</f>
        <v>#REF!</v>
      </c>
    </row>
    <row r="39" spans="1:63" s="2" customFormat="1" x14ac:dyDescent="0.2">
      <c r="A39" s="6" t="s">
        <v>297</v>
      </c>
      <c r="B39" s="558"/>
      <c r="C39" s="559"/>
      <c r="D39" s="8"/>
      <c r="E39" s="258"/>
      <c r="F39" s="258"/>
      <c r="G39" s="258"/>
      <c r="H39" s="258"/>
      <c r="I39" s="258"/>
      <c r="J39" s="262"/>
      <c r="K39" s="8"/>
      <c r="L39" s="262"/>
      <c r="M39" s="262"/>
      <c r="N39" s="262"/>
      <c r="O39" s="262"/>
      <c r="P39" s="262"/>
      <c r="Q39" s="262"/>
      <c r="R39" s="8"/>
      <c r="S39" s="8"/>
      <c r="T39" s="7"/>
      <c r="U39" s="42"/>
      <c r="V39" s="8"/>
      <c r="W39" s="13"/>
      <c r="X39" s="8"/>
      <c r="Y39" s="13"/>
      <c r="Z39" s="13"/>
      <c r="AA39" s="8"/>
      <c r="AB39" s="7"/>
      <c r="AC39" s="42"/>
      <c r="AD39" s="8"/>
      <c r="AE39" s="13"/>
      <c r="AF39" s="8"/>
      <c r="AG39" s="13"/>
      <c r="AH39" s="13"/>
      <c r="AI39" s="8"/>
      <c r="AJ39" s="13"/>
      <c r="AK39" s="13"/>
      <c r="AL39" s="13"/>
      <c r="AM39" s="13"/>
      <c r="AN39" s="13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10"/>
    </row>
    <row r="40" spans="1:63" s="2" customFormat="1" x14ac:dyDescent="0.2">
      <c r="A40" s="579" t="s">
        <v>72</v>
      </c>
      <c r="B40" s="580"/>
      <c r="C40" s="574"/>
      <c r="D40" s="44"/>
      <c r="E40" s="259"/>
      <c r="F40" s="259"/>
      <c r="G40" s="259"/>
      <c r="H40" s="259"/>
      <c r="I40" s="259"/>
      <c r="J40" s="263"/>
      <c r="K40" s="43"/>
      <c r="L40" s="263"/>
      <c r="M40" s="263"/>
      <c r="N40" s="263"/>
      <c r="O40" s="263"/>
      <c r="P40" s="263"/>
      <c r="Q40" s="263"/>
      <c r="R40" s="43"/>
      <c r="S40" s="485"/>
      <c r="T40" s="67"/>
      <c r="U40" s="485" t="s">
        <v>273</v>
      </c>
      <c r="V40" s="487" t="e">
        <f>MIN('DDR2 Clocks - 4L'!$O$17:$O$18)</f>
        <v>#REF!</v>
      </c>
      <c r="W40" s="486" t="e">
        <f>MAX('DDR2 Clocks - 4L'!$O$17:$O$18)</f>
        <v>#REF!</v>
      </c>
      <c r="X40" s="54"/>
      <c r="Y40" s="54"/>
      <c r="Z40" s="54"/>
      <c r="AA40" s="485"/>
      <c r="AB40" s="67"/>
      <c r="AC40" s="485" t="s">
        <v>335</v>
      </c>
      <c r="AD40" s="487" t="e">
        <f>MIN('DDR2 Clocks - 4L'!$O$19:$O$20)</f>
        <v>#REF!</v>
      </c>
      <c r="AE40" s="486" t="e">
        <f>MAX('DDR2 Clocks - 4L'!$O$19:$O$20)</f>
        <v>#REF!</v>
      </c>
      <c r="AF40" s="54"/>
      <c r="AG40" s="54"/>
      <c r="AH40" s="54"/>
      <c r="AI40" s="485"/>
      <c r="AJ40" s="54"/>
      <c r="AK40" s="54"/>
      <c r="AL40" s="54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8"/>
    </row>
    <row r="41" spans="1:63" s="2" customFormat="1" x14ac:dyDescent="0.2">
      <c r="A41" s="6" t="s">
        <v>298</v>
      </c>
      <c r="B41" s="581"/>
      <c r="C41" s="575"/>
      <c r="D41" s="51"/>
      <c r="E41" s="260"/>
      <c r="F41" s="260"/>
      <c r="G41" s="260"/>
      <c r="H41" s="260"/>
      <c r="I41" s="260"/>
      <c r="J41" s="264"/>
      <c r="K41" s="45"/>
      <c r="L41" s="264"/>
      <c r="M41" s="264"/>
      <c r="N41" s="264"/>
      <c r="O41" s="264"/>
      <c r="P41" s="264"/>
      <c r="Q41" s="264"/>
      <c r="R41" s="45"/>
      <c r="S41" s="55"/>
      <c r="T41" s="45"/>
      <c r="U41" s="45"/>
      <c r="V41" s="55"/>
      <c r="W41" s="56"/>
      <c r="X41" s="55"/>
      <c r="Y41" s="45"/>
      <c r="Z41" s="45"/>
      <c r="AA41" s="55"/>
      <c r="AB41" s="45"/>
      <c r="AC41" s="45"/>
      <c r="AD41" s="55"/>
      <c r="AE41" s="56"/>
      <c r="AF41" s="55"/>
      <c r="AG41" s="45"/>
      <c r="AH41" s="45"/>
      <c r="AI41" s="55"/>
      <c r="AJ41" s="45"/>
      <c r="AK41" s="45"/>
      <c r="AL41" s="45"/>
      <c r="AM41" s="55"/>
      <c r="AN41" s="55"/>
      <c r="AO41" s="55"/>
      <c r="AP41" s="55"/>
      <c r="AQ41" s="55"/>
      <c r="AR41" s="55"/>
      <c r="AS41" s="55"/>
      <c r="AT41" s="55"/>
      <c r="AU41" s="55"/>
      <c r="AV41" s="55"/>
      <c r="AW41" s="55"/>
      <c r="AX41" s="55"/>
      <c r="AY41" s="55"/>
      <c r="AZ41" s="57"/>
    </row>
    <row r="42" spans="1:63" s="2" customFormat="1" x14ac:dyDescent="0.2">
      <c r="A42" s="578" t="s">
        <v>153</v>
      </c>
      <c r="B42" s="573" t="s">
        <v>503</v>
      </c>
      <c r="C42" s="562">
        <v>624.48818897637796</v>
      </c>
      <c r="D42" s="16"/>
      <c r="E42" s="17">
        <v>22.63</v>
      </c>
      <c r="F42" s="17">
        <v>0</v>
      </c>
      <c r="G42">
        <v>1400</v>
      </c>
      <c r="H42">
        <v>0</v>
      </c>
      <c r="I42">
        <v>794.79</v>
      </c>
      <c r="J42">
        <v>60</v>
      </c>
      <c r="K42" s="17">
        <v>40</v>
      </c>
      <c r="L42">
        <v>125</v>
      </c>
      <c r="M42">
        <v>1000</v>
      </c>
      <c r="N42" s="271">
        <v>200</v>
      </c>
      <c r="O42" s="271">
        <v>150</v>
      </c>
      <c r="P42">
        <v>63.73</v>
      </c>
      <c r="Q42">
        <v>126</v>
      </c>
      <c r="R42" s="58"/>
      <c r="S42" s="18"/>
      <c r="T42" s="441">
        <f>SUM(E42:G42,I42:N42,P42)</f>
        <v>3706.15</v>
      </c>
      <c r="U42" s="441" t="e">
        <f>T42+IF($B$2="mil",1,0.0254)*$C42</f>
        <v>#REF!</v>
      </c>
      <c r="V42" s="441" t="e">
        <f>MAX(V$40:W$40)+IF($B$2="mil",1,0.0254)*DDR2Specs!$E$2</f>
        <v>#REF!</v>
      </c>
      <c r="W42" s="441" t="e">
        <f>MIN(V$40:W$40)+IF($B$2="mil",1,0.0254)*DDR2Specs!$F$2</f>
        <v>#REF!</v>
      </c>
      <c r="X42" s="18"/>
      <c r="Y42" s="534" t="e">
        <f>IF($U42&lt;$V42,$V42-$U42,"Pass")</f>
        <v>#REF!</v>
      </c>
      <c r="Z42" s="447" t="e">
        <f>IF($U42&gt;$W42,$U42-$W42,"Pass")</f>
        <v>#REF!</v>
      </c>
      <c r="AA42" s="18"/>
      <c r="AB42" s="441">
        <f>SUM(E42:G42,I42:M42,O42,Q42)</f>
        <v>3718.42</v>
      </c>
      <c r="AC42" s="441" t="e">
        <f>AB42+IF($B$2="mil",1,0.0254)*$C42</f>
        <v>#REF!</v>
      </c>
      <c r="AD42" s="441" t="e">
        <f>MAX(AD$40:AE$40)+IF($B$2="mil",1,0.0254)*DDR2Specs!$E$2</f>
        <v>#REF!</v>
      </c>
      <c r="AE42" s="441" t="e">
        <f>MIN(AD$40:AE$40)+IF($B$2="mil",1,0.0254)*DDR2Specs!$F$2</f>
        <v>#REF!</v>
      </c>
      <c r="AF42" s="18"/>
      <c r="AG42" s="534" t="e">
        <f>IF($AC42&lt;$AD42,$AD42-$AC42,"Pass")</f>
        <v>#REF!</v>
      </c>
      <c r="AH42" s="447" t="e">
        <f>IF($AC42&gt;$AE42,$AC42-$AE42,"Pass")</f>
        <v>#REF!</v>
      </c>
      <c r="AI42" s="18"/>
      <c r="AJ42" s="447" t="e">
        <f>IF((ABS($U42-$U43)&lt;=IF($B$2="mil",1,0.0254)*5),"Pass",ABS($U42-$U43))</f>
        <v>#REF!</v>
      </c>
      <c r="AK42" s="447" t="e">
        <f>IF((ABS($AC42-$AC43)&lt;=IF($B$2="mil",1,0.0254)*10),"Pass",ABS($AC42-$AC43))</f>
        <v>#REF!</v>
      </c>
      <c r="AL42" s="447" t="e">
        <f>IF($E42&lt;=IF($B$2="mil",1,0.0254)*50,"Pass",IF($B$2="mil",1,0.0254)*50-$E42)</f>
        <v>#REF!</v>
      </c>
      <c r="AM42" s="447" t="e">
        <f>IF($F42&lt;=IF($B$2="mil",1,0.0254)*500,"Pass",IF($B$2="mil",1,0.0254)*500-$F42)</f>
        <v>#REF!</v>
      </c>
      <c r="AN42" s="447" t="e">
        <f>IF($H42&lt;=IF($B$2="mil",1,0.0254)*0,"Pass",IF($B$2="mil",1,0.0254)*0-$H42)</f>
        <v>#REF!</v>
      </c>
      <c r="AO42" s="447" t="e">
        <f>IF(($G42+$I42)&lt;=IF($B$2="mil",1,0.0254)*2750,"Pass",IF($B$2="mil",1,0.0254)*2750-($G42+I42))</f>
        <v>#REF!</v>
      </c>
      <c r="AP42" s="447" t="e">
        <f>IF($J42&lt;=IF($B$2="mil",1,0.0254)*125,"Pass",IF($B$2="mil",1,0.0254)*125-$J42)</f>
        <v>#REF!</v>
      </c>
      <c r="AQ42" s="447" t="e">
        <f>IF($L42&lt;=IF($B$2="mil",1,0.0254)*125,"Pass",IF($B$2="mil",1,0.0254)*125-$L42)</f>
        <v>#REF!</v>
      </c>
      <c r="AR42" s="447" t="e">
        <f>IF(($L42+$M42)&lt;=IF($B$2="mil",1,0.0254)*1350,"Pass",IF($B$2="mil",1,0.0254)*1350-($L42+M42))</f>
        <v>#REF!</v>
      </c>
      <c r="AS42" s="447" t="e">
        <f>IF($N42&lt;=IF($B$2="mil",1,0.0254)*650,"Pass",IF($B$2="mil",1,0.0254)*650-$N42)</f>
        <v>#REF!</v>
      </c>
      <c r="AT42" s="447" t="e">
        <f>IF($O42&lt;=IF($B$2="mil",1,0.0254)*650,"Pass",IF($B$2="mil",1,0.0254)*650-$O42)</f>
        <v>#REF!</v>
      </c>
      <c r="AU42" s="445" t="e">
        <f>IF(MAX(N42:O42)-MIN(N42:O42)&lt;=IF($B$2="mil",1,0.0254)*50,"Pass",MAX(N42:O42)-MIN(N42:O42)-IF($B$2="mil",1,0.0254)*50)</f>
        <v>#REF!</v>
      </c>
      <c r="AV42" s="447" t="e">
        <f ca="1">CheckLength2(IF($B$2="mil",1,0.0254)*800,N42,P42,0)</f>
        <v>#NAME?</v>
      </c>
      <c r="AW42" s="447" t="e">
        <f ca="1">CheckLength2(800,$O42,Q42,0)</f>
        <v>#NAME?</v>
      </c>
      <c r="AX42" s="447" t="e">
        <f>IF(AND($T42&gt;=IF($B$2="mil",1,0.0254)*500, $T42&lt;=IF($B$2="mil",1,0.0254)*5500),"Pass",IF($B$2="mil",1,0.0254)*5500-$T42)</f>
        <v>#REF!</v>
      </c>
      <c r="AY42" s="447" t="e">
        <f>IF(AND($U42&gt;=IF($B$2="mil",1,0.0254)*500, $U42&lt;=IF($B$2="mil",1,0.0254)*6000),"Pass",IF($B$2="mil",1,0.0254)*6000-$U42)</f>
        <v>#REF!</v>
      </c>
      <c r="AZ42" s="18"/>
      <c r="BA42" s="2" t="e">
        <f ca="1">IF(AND(AL42="Pass",AN42="Pass",AM42="Pass",AW42="Pass",AR42="Pass",AS42="Pass",AT42="Pass",AU42="Pass",AV42="Pass",AQ42="Pass",AP42="Pass",AO42="Pass",AG42="Pass",AH42="Pass",AJ42="Pass",AK42="Pass",AX42="Pass",AY42="Pass",Y42="Pass",Z42="Pass"),"Pass","Fail")</f>
        <v>#REF!</v>
      </c>
    </row>
    <row r="43" spans="1:63" s="2" customFormat="1" x14ac:dyDescent="0.2">
      <c r="A43" s="578" t="s">
        <v>154</v>
      </c>
      <c r="B43" s="573" t="s">
        <v>510</v>
      </c>
      <c r="C43" s="562">
        <v>624.48818897637796</v>
      </c>
      <c r="D43" s="16"/>
      <c r="E43" s="17">
        <v>22.63</v>
      </c>
      <c r="F43" s="17">
        <v>0</v>
      </c>
      <c r="G43">
        <v>1430</v>
      </c>
      <c r="H43">
        <v>0</v>
      </c>
      <c r="I43">
        <v>788.93</v>
      </c>
      <c r="J43">
        <v>100</v>
      </c>
      <c r="K43" s="17">
        <v>40</v>
      </c>
      <c r="L43">
        <v>92.41</v>
      </c>
      <c r="M43">
        <v>920</v>
      </c>
      <c r="N43" s="271">
        <v>200</v>
      </c>
      <c r="O43" s="271">
        <v>175</v>
      </c>
      <c r="P43">
        <v>109.41</v>
      </c>
      <c r="Q43">
        <v>150</v>
      </c>
      <c r="R43" s="58"/>
      <c r="S43" s="18"/>
      <c r="T43" s="441">
        <f>SUM(E43:G43,I43:N43,P43)</f>
        <v>3703.3799999999997</v>
      </c>
      <c r="U43" s="441" t="e">
        <f>T43+IF($B$2="mil",1,0.0254)*$C43</f>
        <v>#REF!</v>
      </c>
      <c r="V43" s="441" t="e">
        <f>MAX(V$40:W$40)+IF($B$2="mil",1,0.0254)*DDR2Specs!$E$2</f>
        <v>#REF!</v>
      </c>
      <c r="W43" s="441" t="e">
        <f>MIN(V$40:W$40)+IF($B$2="mil",1,0.0254)*DDR2Specs!$F$2</f>
        <v>#REF!</v>
      </c>
      <c r="X43" s="18"/>
      <c r="Y43" s="534" t="e">
        <f>IF($U43&lt;$V43,$V43-$U43,"Pass")</f>
        <v>#REF!</v>
      </c>
      <c r="Z43" s="447" t="e">
        <f>IF($U43&gt;$W43,$U43-$W43,"Pass")</f>
        <v>#REF!</v>
      </c>
      <c r="AA43" s="18"/>
      <c r="AB43" s="441">
        <f>SUM(E43:G43,I43:M43,O43,Q43)</f>
        <v>3718.97</v>
      </c>
      <c r="AC43" s="441" t="e">
        <f>AB43+IF($B$2="mil",1,0.0254)*$C43</f>
        <v>#REF!</v>
      </c>
      <c r="AD43" s="441" t="e">
        <f>MAX(AD$40:AE$40)+IF($B$2="mil",1,0.0254)*DDR2Specs!$E$2</f>
        <v>#REF!</v>
      </c>
      <c r="AE43" s="441" t="e">
        <f>MIN(AD$40:AE$40)+IF($B$2="mil",1,0.0254)*DDR2Specs!$F$2</f>
        <v>#REF!</v>
      </c>
      <c r="AF43" s="18"/>
      <c r="AG43" s="534" t="e">
        <f>IF($AC43&lt;$AD43,$AD43-$AC43,"Pass")</f>
        <v>#REF!</v>
      </c>
      <c r="AH43" s="447" t="e">
        <f>IF($AC43&gt;$AE43,$AC43-$AE43,"Pass")</f>
        <v>#REF!</v>
      </c>
      <c r="AI43" s="18"/>
      <c r="AJ43" s="447" t="e">
        <f>IF((ABS($U43-$U42)&lt;=IF($B$2="mil",1,0.0254)*5),"Pass",ABS($U43-$U42))</f>
        <v>#REF!</v>
      </c>
      <c r="AK43" s="447" t="e">
        <f>IF((ABS($AC43-$AC42)&lt;=IF($B$2="mil",1,0.0254)*10),"Pass",ABS($AC43-$AC42))</f>
        <v>#REF!</v>
      </c>
      <c r="AL43" s="447" t="e">
        <f>IF($E43&lt;=IF($B$2="mil",1,0.0254)*50,"Pass",IF($B$2="mil",1,0.0254)*50-$E43)</f>
        <v>#REF!</v>
      </c>
      <c r="AM43" s="447" t="e">
        <f>IF($F43&lt;=IF($B$2="mil",1,0.0254)*500,"Pass",IF($B$2="mil",1,0.0254)*500-$F43)</f>
        <v>#REF!</v>
      </c>
      <c r="AN43" s="447" t="e">
        <f>IF($H43&lt;=IF($B$2="mil",1,0.0254)*0,"Pass",IF($B$2="mil",1,0.0254)*0-$H43)</f>
        <v>#REF!</v>
      </c>
      <c r="AO43" s="447" t="e">
        <f>IF(($G43+$I43)&lt;=IF($B$2="mil",1,0.0254)*2750,"Pass",IF($B$2="mil",1,0.0254)*2750-($G43+I43))</f>
        <v>#REF!</v>
      </c>
      <c r="AP43" s="447" t="e">
        <f>IF($J43&lt;=IF($B$2="mil",1,0.0254)*125,"Pass",IF($B$2="mil",1,0.0254)*125-$J43)</f>
        <v>#REF!</v>
      </c>
      <c r="AQ43" s="447" t="e">
        <f>IF($L43&lt;=IF($B$2="mil",1,0.0254)*125,"Pass",IF($B$2="mil",1,0.0254)*125-$L43)</f>
        <v>#REF!</v>
      </c>
      <c r="AR43" s="447" t="e">
        <f>IF(($L43+$M43)&lt;=IF($B$2="mil",1,0.0254)*1350,"Pass",IF($B$2="mil",1,0.0254)*1350-($L43+M43))</f>
        <v>#REF!</v>
      </c>
      <c r="AS43" s="447" t="e">
        <f>IF($N43&lt;=IF($B$2="mil",1,0.0254)*650,"Pass",IF($B$2="mil",1,0.0254)*650-$N43)</f>
        <v>#REF!</v>
      </c>
      <c r="AT43" s="447" t="e">
        <f>IF($O43&lt;=IF($B$2="mil",1,0.0254)*650,"Pass",IF($B$2="mil",1,0.0254)*650-$O43)</f>
        <v>#REF!</v>
      </c>
      <c r="AU43" s="445" t="e">
        <f>IF(MAX(N43:O43)-MIN(N43:O43)&lt;=IF($B$2="mil",1,0.0254)*50,"Pass",MAX(N43:O43)-MIN(N43:O43)-IF($B$2="mil",1,0.0254)*50)</f>
        <v>#REF!</v>
      </c>
      <c r="AV43" s="447" t="e">
        <f ca="1">CheckLength2(IF($B$2="mil",1,0.0254)*800,N43,P43,0)</f>
        <v>#NAME?</v>
      </c>
      <c r="AW43" s="447" t="e">
        <f ca="1">CheckLength2(800,$O43,Q43,0)</f>
        <v>#NAME?</v>
      </c>
      <c r="AX43" s="447" t="e">
        <f>IF(AND($T43&gt;=IF($B$2="mil",1,0.0254)*500, $T43&lt;=IF($B$2="mil",1,0.0254)*5500),"Pass",IF($B$2="mil",1,0.0254)*5500-$T43)</f>
        <v>#REF!</v>
      </c>
      <c r="AY43" s="447" t="e">
        <f>IF(AND($U43&gt;=IF($B$2="mil",1,0.0254)*500, $U43&lt;=IF($B$2="mil",1,0.0254)*6000),"Pass",IF($B$2="mil",1,0.0254)*6000-$U43)</f>
        <v>#REF!</v>
      </c>
      <c r="AZ43" s="18"/>
      <c r="BA43" s="2" t="e">
        <f ca="1">IF(AND(AL43="Pass",AN43="Pass",AM43="Pass",AW43="Pass",AR43="Pass",AS43="Pass",AT43="Pass",AU43="Pass",AV43="Pass",AQ43="Pass",AP43="Pass",AO43="Pass",AG43="Pass",AH43="Pass",AJ43="Pass",AK43="Pass",AX43="Pass",AY43="Pass",Y43="Pass",Z43="Pass"),"Pass","Fail")</f>
        <v>#REF!</v>
      </c>
    </row>
    <row r="44" spans="1:63" s="2" customFormat="1" x14ac:dyDescent="0.2">
      <c r="A44" s="59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60"/>
      <c r="AU44" s="60"/>
      <c r="AV44" s="60"/>
      <c r="AW44" s="60"/>
      <c r="AX44" s="60"/>
      <c r="AY44" s="60"/>
      <c r="AZ44" s="431"/>
    </row>
    <row r="45" spans="1:63" s="2" customFormat="1" ht="25.5" x14ac:dyDescent="0.35">
      <c r="A45" s="39" t="s">
        <v>57</v>
      </c>
      <c r="B45" s="4"/>
      <c r="C45" s="3"/>
      <c r="D45" s="3"/>
      <c r="E45" s="4"/>
      <c r="F45" s="4"/>
      <c r="G45" s="3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3"/>
      <c r="W45" s="3"/>
      <c r="X45" s="4"/>
      <c r="Y45" s="3"/>
      <c r="Z45" s="3"/>
      <c r="AA45" s="4"/>
      <c r="AB45" s="4"/>
      <c r="AC45" s="4"/>
      <c r="AD45" s="3"/>
      <c r="AE45" s="3"/>
      <c r="AF45" s="4"/>
      <c r="AG45" s="3"/>
      <c r="AH45" s="3"/>
      <c r="AI45" s="4"/>
      <c r="AJ45" s="3"/>
      <c r="AK45" s="3"/>
      <c r="AL45" s="3"/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61"/>
      <c r="AX45" s="61"/>
      <c r="AY45" s="61"/>
      <c r="AZ45" s="4"/>
      <c r="BA45" s="4"/>
      <c r="BB45" s="4"/>
      <c r="BK45" s="62"/>
    </row>
    <row r="46" spans="1:63" s="2" customFormat="1" x14ac:dyDescent="0.2">
      <c r="A46" s="4"/>
      <c r="B46" s="3"/>
      <c r="C46" s="3"/>
      <c r="D46" s="3"/>
      <c r="E46" s="4"/>
      <c r="F46" s="4"/>
      <c r="G46" s="3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3"/>
      <c r="W46" s="3"/>
      <c r="X46" s="4"/>
      <c r="Y46" s="3"/>
      <c r="Z46" s="3"/>
      <c r="AA46" s="4"/>
      <c r="AB46" s="4"/>
      <c r="AC46" s="4"/>
      <c r="AD46" s="3"/>
      <c r="AE46" s="3"/>
      <c r="AF46" s="4"/>
      <c r="AG46" s="3"/>
      <c r="AH46" s="3"/>
      <c r="AI46" s="4"/>
      <c r="AJ46" s="3"/>
      <c r="AK46" s="3"/>
      <c r="AL46" s="3"/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  <c r="AX46" s="61"/>
      <c r="AY46" s="61"/>
      <c r="AZ46" s="4"/>
      <c r="BA46" s="4"/>
      <c r="BB46" s="4"/>
    </row>
    <row r="47" spans="1:63" s="2" customFormat="1" x14ac:dyDescent="0.2">
      <c r="A47" s="4"/>
      <c r="B47" s="4"/>
      <c r="C47" s="3"/>
      <c r="D47" s="3"/>
      <c r="E47" s="64"/>
      <c r="F47" s="4"/>
      <c r="G47" s="3"/>
      <c r="H47" s="4"/>
      <c r="I47" s="4"/>
      <c r="J47" s="4"/>
      <c r="K47" s="4"/>
      <c r="L47" s="4"/>
      <c r="M47" s="4"/>
      <c r="N47" s="4"/>
      <c r="O47" s="4"/>
      <c r="P47" s="4"/>
      <c r="Q47" s="4" t="s">
        <v>155</v>
      </c>
      <c r="R47" s="4"/>
      <c r="S47" s="4"/>
      <c r="T47" s="4"/>
      <c r="U47" s="4"/>
      <c r="V47" s="3"/>
      <c r="W47" s="3"/>
      <c r="X47" s="4"/>
      <c r="Y47" s="3"/>
      <c r="Z47" s="3"/>
      <c r="AA47" s="4"/>
      <c r="AB47" s="4"/>
      <c r="AC47" s="4"/>
      <c r="AD47" s="3"/>
      <c r="AE47" s="3"/>
      <c r="AF47" s="4"/>
      <c r="AG47" s="3"/>
      <c r="AH47" s="3"/>
      <c r="AI47" s="4"/>
      <c r="AJ47" s="3"/>
      <c r="AK47" s="3"/>
      <c r="AL47" s="3"/>
      <c r="AM47" s="65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63"/>
      <c r="AZ47" s="4"/>
      <c r="BC47" s="65"/>
    </row>
    <row r="48" spans="1:63" s="2" customFormat="1" x14ac:dyDescent="0.2">
      <c r="A48" s="4"/>
      <c r="B48" s="4"/>
      <c r="C48" s="3"/>
      <c r="D48" s="3"/>
      <c r="E48" s="4"/>
      <c r="F48" s="4"/>
      <c r="G48" s="3"/>
      <c r="H48" s="2" t="s">
        <v>69</v>
      </c>
      <c r="S48" s="4"/>
      <c r="T48" s="4"/>
      <c r="U48" s="4"/>
      <c r="V48" s="3"/>
      <c r="W48" s="3"/>
      <c r="X48" s="4"/>
      <c r="Y48" s="3"/>
      <c r="Z48" s="3"/>
      <c r="AA48" s="4"/>
      <c r="AB48" s="4"/>
      <c r="AC48" s="4"/>
      <c r="AD48" s="3"/>
      <c r="AE48" s="3"/>
      <c r="AF48" s="4"/>
      <c r="AG48" s="3"/>
      <c r="AH48" s="3"/>
      <c r="AI48" s="4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4"/>
      <c r="BA48" s="4"/>
      <c r="BB48" s="4"/>
    </row>
    <row r="49" spans="1:54" s="2" customFormat="1" x14ac:dyDescent="0.2">
      <c r="A49" s="4"/>
      <c r="B49" s="4"/>
      <c r="C49" s="3"/>
      <c r="D49" s="3"/>
      <c r="E49" s="4"/>
      <c r="F49" s="4"/>
      <c r="G49" s="3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3"/>
      <c r="W49" s="3" t="s">
        <v>155</v>
      </c>
      <c r="X49" s="4"/>
      <c r="Y49" s="3"/>
      <c r="Z49" s="3"/>
      <c r="AA49" s="4"/>
      <c r="AB49" s="4"/>
      <c r="AC49" s="4"/>
      <c r="AD49" s="3"/>
      <c r="AE49" s="3" t="s">
        <v>155</v>
      </c>
      <c r="AF49" s="4"/>
      <c r="AG49" s="3"/>
      <c r="AH49" s="3"/>
      <c r="AI49" s="4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4"/>
      <c r="BA49" s="4"/>
      <c r="BB49" s="4"/>
    </row>
    <row r="50" spans="1:54" s="2" customFormat="1" x14ac:dyDescent="0.2">
      <c r="A50" s="4"/>
      <c r="B50" s="4"/>
      <c r="C50" s="3"/>
      <c r="D50" s="3"/>
      <c r="E50" s="4"/>
      <c r="F50" s="4"/>
      <c r="G50" s="3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3"/>
      <c r="W50" s="3"/>
      <c r="X50" s="4"/>
      <c r="Y50" s="3"/>
      <c r="Z50" s="3"/>
      <c r="AA50" s="4"/>
      <c r="AB50" s="4"/>
      <c r="AC50" s="4"/>
      <c r="AD50" s="3"/>
      <c r="AE50" s="3"/>
      <c r="AF50" s="4"/>
      <c r="AG50" s="3"/>
      <c r="AH50" s="3"/>
      <c r="AI50" s="4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4"/>
      <c r="BA50" s="4"/>
      <c r="BB50" s="4"/>
    </row>
    <row r="51" spans="1:54" s="2" customFormat="1" x14ac:dyDescent="0.2">
      <c r="A51" s="4"/>
      <c r="B51" s="4"/>
      <c r="C51" s="3"/>
      <c r="D51" s="3"/>
      <c r="E51" s="4"/>
      <c r="F51" s="4"/>
      <c r="G51" s="3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3"/>
      <c r="W51" s="3"/>
      <c r="X51" s="4"/>
      <c r="Y51" s="3"/>
      <c r="Z51" s="3"/>
      <c r="AA51" s="4"/>
      <c r="AB51" s="4"/>
      <c r="AC51" s="4"/>
      <c r="AD51" s="3"/>
      <c r="AE51" s="3"/>
      <c r="AF51" s="4"/>
      <c r="AG51" s="3"/>
      <c r="AH51" s="3"/>
      <c r="AI51" s="4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4"/>
      <c r="BA51" s="4"/>
      <c r="BB51" s="4"/>
    </row>
    <row r="52" spans="1:54" s="2" customFormat="1" x14ac:dyDescent="0.2">
      <c r="A52" s="4"/>
      <c r="B52" s="4"/>
      <c r="C52" s="3"/>
      <c r="D52" s="3"/>
      <c r="E52" s="4"/>
      <c r="F52" s="4"/>
      <c r="G52" s="3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3"/>
      <c r="W52" s="3"/>
      <c r="X52" s="4"/>
      <c r="Y52" s="3"/>
      <c r="Z52" s="3"/>
      <c r="AA52" s="4"/>
      <c r="AB52" s="4"/>
      <c r="AC52" s="4"/>
      <c r="AD52" s="3"/>
      <c r="AE52" s="3"/>
      <c r="AF52" s="4"/>
      <c r="AG52" s="3"/>
      <c r="AH52" s="3"/>
      <c r="AI52" s="4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4"/>
      <c r="BA52" s="4"/>
      <c r="BB52" s="4"/>
    </row>
    <row r="53" spans="1:54" s="2" customFormat="1" x14ac:dyDescent="0.2">
      <c r="A53" s="4"/>
      <c r="B53" s="4"/>
      <c r="C53" s="3"/>
      <c r="D53" s="3"/>
      <c r="E53" s="4"/>
      <c r="F53" s="4"/>
      <c r="G53" s="3"/>
      <c r="H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3"/>
      <c r="W53" s="3"/>
      <c r="X53" s="4"/>
      <c r="Y53" s="3"/>
      <c r="Z53" s="3"/>
      <c r="AA53" s="4"/>
      <c r="AB53" s="4"/>
      <c r="AC53" s="4"/>
      <c r="AD53" s="3"/>
      <c r="AE53" s="3"/>
      <c r="AF53" s="4"/>
      <c r="AG53" s="3"/>
      <c r="AH53" s="3"/>
      <c r="AI53" s="4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4"/>
      <c r="BA53" s="4"/>
      <c r="BB53" s="4"/>
    </row>
    <row r="54" spans="1:54" s="2" customFormat="1" x14ac:dyDescent="0.2">
      <c r="A54" s="4"/>
      <c r="B54" s="4"/>
      <c r="C54" s="3"/>
      <c r="D54" s="3"/>
      <c r="E54" s="4"/>
      <c r="F54" s="4"/>
      <c r="G54" s="3"/>
      <c r="H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3"/>
      <c r="W54" s="3"/>
      <c r="X54" s="4"/>
      <c r="Y54" s="3"/>
      <c r="Z54" s="3"/>
      <c r="AA54" s="4"/>
      <c r="AB54" s="4"/>
      <c r="AC54" s="4"/>
      <c r="AD54" s="3"/>
      <c r="AE54" s="3"/>
      <c r="AF54" s="4"/>
      <c r="AG54" s="3"/>
      <c r="AH54" s="3"/>
      <c r="AI54" s="4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4"/>
      <c r="BA54" s="4"/>
      <c r="BB54" s="4"/>
    </row>
    <row r="55" spans="1:54" s="2" customFormat="1" x14ac:dyDescent="0.2">
      <c r="A55" s="4"/>
      <c r="B55" s="4"/>
      <c r="C55" s="3"/>
      <c r="D55" s="3"/>
      <c r="E55" s="4"/>
      <c r="F55" s="4"/>
      <c r="G55" s="3"/>
      <c r="H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3"/>
      <c r="W55" s="3"/>
      <c r="X55" s="4"/>
      <c r="Y55" s="3"/>
      <c r="Z55" s="3"/>
      <c r="AA55" s="4"/>
      <c r="AB55" s="4"/>
      <c r="AC55" s="4"/>
      <c r="AD55" s="3"/>
      <c r="AE55" s="3"/>
      <c r="AF55" s="4"/>
      <c r="AG55" s="3"/>
      <c r="AH55" s="3"/>
      <c r="AI55" s="4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4"/>
      <c r="BA55" s="4"/>
      <c r="BB55" s="4"/>
    </row>
    <row r="56" spans="1:54" s="2" customFormat="1" x14ac:dyDescent="0.2">
      <c r="A56" s="4"/>
      <c r="B56" s="4"/>
      <c r="C56" s="3"/>
      <c r="D56" s="3"/>
      <c r="E56" s="4"/>
      <c r="F56" s="4"/>
      <c r="G56" s="3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3"/>
      <c r="W56" s="3"/>
      <c r="X56" s="4"/>
      <c r="Y56" s="3"/>
      <c r="Z56" s="3"/>
      <c r="AA56" s="4"/>
      <c r="AB56" s="4"/>
      <c r="AC56" s="4"/>
      <c r="AD56" s="3"/>
      <c r="AE56" s="3"/>
      <c r="AF56" s="4"/>
      <c r="AG56" s="3"/>
      <c r="AH56" s="3"/>
      <c r="AI56" s="4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4"/>
      <c r="BA56" s="4"/>
      <c r="BB56" s="4"/>
    </row>
    <row r="57" spans="1:54" s="2" customFormat="1" x14ac:dyDescent="0.2">
      <c r="A57" s="4"/>
      <c r="B57" s="4"/>
      <c r="C57" s="3"/>
      <c r="D57" s="3"/>
      <c r="E57" s="4"/>
      <c r="F57" s="4"/>
      <c r="G57" s="3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3"/>
      <c r="W57" s="3"/>
      <c r="X57" s="4"/>
      <c r="Y57" s="3"/>
      <c r="Z57" s="3"/>
      <c r="AA57" s="4"/>
      <c r="AB57" s="4"/>
      <c r="AC57" s="4"/>
      <c r="AD57" s="3"/>
      <c r="AE57" s="3"/>
      <c r="AF57" s="4"/>
      <c r="AG57" s="3"/>
      <c r="AH57" s="3"/>
      <c r="AI57" s="4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4"/>
      <c r="BA57" s="4"/>
      <c r="BB57" s="4"/>
    </row>
    <row r="58" spans="1:54" s="2" customFormat="1" x14ac:dyDescent="0.2">
      <c r="A58" s="4"/>
      <c r="B58" s="4"/>
      <c r="C58" s="3"/>
      <c r="D58" s="3"/>
      <c r="E58" s="4"/>
      <c r="F58" s="4"/>
      <c r="G58" s="3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3"/>
      <c r="W58" s="3"/>
      <c r="X58" s="4"/>
      <c r="Y58" s="3"/>
      <c r="Z58" s="3"/>
      <c r="AA58" s="4"/>
      <c r="AB58" s="4"/>
      <c r="AC58" s="4"/>
      <c r="AD58" s="3"/>
      <c r="AE58" s="3"/>
      <c r="AF58" s="4"/>
      <c r="AG58" s="3"/>
      <c r="AH58" s="3"/>
      <c r="AI58" s="4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4"/>
      <c r="BA58" s="4"/>
      <c r="BB58" s="4"/>
    </row>
    <row r="59" spans="1:54" s="2" customFormat="1" x14ac:dyDescent="0.2">
      <c r="A59" s="4"/>
      <c r="B59" s="4"/>
      <c r="C59" s="3"/>
      <c r="D59" s="3"/>
      <c r="E59" s="4"/>
      <c r="F59" s="4"/>
      <c r="G59" s="3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3"/>
      <c r="W59" s="3"/>
      <c r="X59" s="4"/>
      <c r="Y59" s="3"/>
      <c r="Z59" s="3"/>
      <c r="AA59" s="4"/>
      <c r="AB59" s="4"/>
      <c r="AC59" s="4"/>
      <c r="AD59" s="3"/>
      <c r="AE59" s="3"/>
      <c r="AF59" s="4"/>
      <c r="AG59" s="3"/>
      <c r="AH59" s="3"/>
      <c r="AI59" s="4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4"/>
      <c r="BA59" s="4"/>
      <c r="BB59" s="4"/>
    </row>
    <row r="60" spans="1:54" s="2" customFormat="1" x14ac:dyDescent="0.2">
      <c r="A60" s="4"/>
      <c r="B60" s="4"/>
      <c r="C60" s="3"/>
      <c r="D60" s="3"/>
      <c r="E60" s="4"/>
      <c r="F60" s="4"/>
      <c r="G60" s="3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3"/>
      <c r="W60" s="3"/>
      <c r="X60" s="4"/>
      <c r="Y60" s="3"/>
      <c r="Z60" s="3"/>
      <c r="AA60" s="4"/>
      <c r="AB60" s="4"/>
      <c r="AC60" s="4"/>
      <c r="AD60" s="3"/>
      <c r="AE60" s="3"/>
      <c r="AF60" s="4"/>
      <c r="AG60" s="3"/>
      <c r="AH60" s="3"/>
      <c r="AI60" s="4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4"/>
      <c r="BA60" s="4"/>
      <c r="BB60" s="4"/>
    </row>
    <row r="61" spans="1:54" s="2" customFormat="1" x14ac:dyDescent="0.2">
      <c r="A61" s="4"/>
      <c r="B61" s="4"/>
      <c r="C61" s="3"/>
      <c r="D61" s="3"/>
      <c r="E61" s="4"/>
      <c r="F61" s="4"/>
      <c r="G61" s="3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3"/>
      <c r="W61" s="3"/>
      <c r="X61" s="4"/>
      <c r="Y61" s="3"/>
      <c r="Z61" s="3"/>
      <c r="AA61" s="4"/>
      <c r="AB61" s="4"/>
      <c r="AC61" s="4"/>
      <c r="AD61" s="3"/>
      <c r="AE61" s="3"/>
      <c r="AF61" s="4"/>
      <c r="AG61" s="3"/>
      <c r="AH61" s="3"/>
      <c r="AI61" s="4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4"/>
      <c r="BA61" s="4"/>
      <c r="BB61" s="4"/>
    </row>
    <row r="62" spans="1:54" s="2" customFormat="1" x14ac:dyDescent="0.2">
      <c r="A62" s="4"/>
      <c r="B62" s="4"/>
      <c r="C62" s="3"/>
      <c r="D62" s="3"/>
      <c r="E62" s="4"/>
      <c r="F62" s="4"/>
      <c r="G62" s="3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3"/>
      <c r="W62" s="3"/>
      <c r="X62" s="4"/>
      <c r="Y62" s="3"/>
      <c r="Z62" s="3"/>
      <c r="AA62" s="4"/>
      <c r="AB62" s="4"/>
      <c r="AC62" s="4"/>
      <c r="AD62" s="3"/>
      <c r="AE62" s="3"/>
      <c r="AF62" s="4"/>
      <c r="AG62" s="3"/>
      <c r="AH62" s="3"/>
      <c r="AI62" s="4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4"/>
      <c r="BA62" s="4"/>
      <c r="BB62" s="4"/>
    </row>
    <row r="63" spans="1:54" x14ac:dyDescent="0.2">
      <c r="H63" s="4"/>
      <c r="I63" s="4" t="s">
        <v>562</v>
      </c>
      <c r="J63" s="4"/>
    </row>
    <row r="64" spans="1:54" x14ac:dyDescent="0.2">
      <c r="H64" s="4" t="s">
        <v>337</v>
      </c>
      <c r="I64" s="4" t="s">
        <v>563</v>
      </c>
      <c r="J64" s="4"/>
    </row>
    <row r="65" spans="8:9" x14ac:dyDescent="0.2">
      <c r="H65" s="4" t="s">
        <v>338</v>
      </c>
      <c r="I65" s="4" t="s">
        <v>563</v>
      </c>
    </row>
    <row r="66" spans="8:9" x14ac:dyDescent="0.2">
      <c r="H66" s="4" t="s">
        <v>339</v>
      </c>
      <c r="I66" s="4" t="s">
        <v>564</v>
      </c>
    </row>
    <row r="67" spans="8:9" x14ac:dyDescent="0.2">
      <c r="H67" s="4" t="s">
        <v>440</v>
      </c>
      <c r="I67" s="4" t="s">
        <v>564</v>
      </c>
    </row>
    <row r="68" spans="8:9" x14ac:dyDescent="0.2">
      <c r="H68" s="4" t="s">
        <v>341</v>
      </c>
      <c r="I68" s="4" t="s">
        <v>565</v>
      </c>
    </row>
    <row r="69" spans="8:9" x14ac:dyDescent="0.2">
      <c r="H69" s="4" t="s">
        <v>342</v>
      </c>
      <c r="I69" s="4" t="s">
        <v>565</v>
      </c>
    </row>
    <row r="70" spans="8:9" x14ac:dyDescent="0.2">
      <c r="H70" s="4" t="s">
        <v>343</v>
      </c>
      <c r="I70" s="4" t="s">
        <v>566</v>
      </c>
    </row>
    <row r="71" spans="8:9" x14ac:dyDescent="0.2">
      <c r="H71" s="4" t="s">
        <v>344</v>
      </c>
      <c r="I71" s="4" t="s">
        <v>566</v>
      </c>
    </row>
  </sheetData>
  <protectedRanges>
    <protectedRange sqref="E22:R23 E37:R38 E17:R18 E12:R13 E27:R28 E32:R33 E7:R8 E42:R43" name="DDR2StrobesA"/>
  </protectedRanges>
  <mergeCells count="1">
    <mergeCell ref="A1:D1"/>
  </mergeCells>
  <phoneticPr fontId="25" type="noConversion"/>
  <conditionalFormatting sqref="A1:AZ1">
    <cfRule type="expression" dxfId="71" priority="9" stopIfTrue="1">
      <formula>$E$1 = "Fail"</formula>
    </cfRule>
    <cfRule type="expression" dxfId="70" priority="10" stopIfTrue="1">
      <formula>$E$1 = "Pass"</formula>
    </cfRule>
  </conditionalFormatting>
  <conditionalFormatting sqref="U7:U8 AC7:AC8 U12:U13 AC12:AC13 U17:U18 AC17:AC18 U22:U23 AC22:AC23 U27:U28 AC27:AC28 U32:U33 AC32:AC33 U37:U38 AC37:AC38 U42:U43 AC42:AC43">
    <cfRule type="cellIs" dxfId="69" priority="5" stopIfTrue="1" operator="greaterThan">
      <formula>6250</formula>
    </cfRule>
    <cfRule type="cellIs" dxfId="68" priority="6" stopIfTrue="1" operator="lessThan">
      <formula>6250</formula>
    </cfRule>
  </conditionalFormatting>
  <conditionalFormatting sqref="Y7:Z8 AG7:AH8 Y12:Z13 AG12:AH13 Y17:Z18 AG17:AH18 Y22:Z23 AG22:AH23 Y27:Z28 AG27:AH28 Y32:Z33 AG32:AH33 Y37:Z38 AG37:AH38 Y42:Z43 AG42:AH43">
    <cfRule type="cellIs" priority="7" stopIfTrue="1" operator="equal">
      <formula>"Pass"</formula>
    </cfRule>
    <cfRule type="cellIs" dxfId="67" priority="8" stopIfTrue="1" operator="notEqual">
      <formula>"Pass"</formula>
    </cfRule>
  </conditionalFormatting>
  <conditionalFormatting sqref="AJ7:AT8 AV7:AY8 AJ12:AT13 AV12:AY13 AJ17:AT18 AV17:AY18 AJ22:AT23 AV22:AY23 AJ27:AT28 AV27:AY28 AJ32:AT33 AV32:AY33 AJ37:AT38 AV37:AY38 AJ42:AT43 AV42:AY43">
    <cfRule type="cellIs" dxfId="66" priority="2" stopIfTrue="1" operator="notEqual">
      <formula>"Pass"</formula>
    </cfRule>
  </conditionalFormatting>
  <conditionalFormatting sqref="AJ7:AY8 AJ12:AY13 AJ17:AY18 AJ22:AY23 AJ27:AY28 AJ32:AY33 AJ37:AY38 AJ42:AY43">
    <cfRule type="cellIs" dxfId="65" priority="1" stopIfTrue="1" operator="equal">
      <formula>"Pass"</formula>
    </cfRule>
  </conditionalFormatting>
  <conditionalFormatting sqref="AU7:AU8 AU12:AU13 AU17:AU18 AU22:AU23 AU27:AU28 AU32:AU33 AU37:AU38 AU42:AU43">
    <cfRule type="cellIs" dxfId="64" priority="4" stopIfTrue="1" operator="notEqual">
      <formula>"pass"</formula>
    </cfRule>
  </conditionalFormatting>
  <pageMargins left="0.75" right="0.75" top="1" bottom="1" header="0.5" footer="0.5"/>
  <pageSetup paperSize="9" orientation="landscape" verticalDpi="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Visio.Drawing.11" shapeId="18659" r:id="rId4">
          <objectPr defaultSize="0" autoPict="0" r:id="rId5">
            <anchor moveWithCells="1">
              <from>
                <xdr:col>4</xdr:col>
                <xdr:colOff>28575</xdr:colOff>
                <xdr:row>45</xdr:row>
                <xdr:rowOff>9525</xdr:rowOff>
              </from>
              <to>
                <xdr:col>15</xdr:col>
                <xdr:colOff>257175</xdr:colOff>
                <xdr:row>61</xdr:row>
                <xdr:rowOff>0</xdr:rowOff>
              </to>
            </anchor>
          </objectPr>
        </oleObject>
      </mc:Choice>
      <mc:Fallback>
        <oleObject progId="Visio.Drawing.11" shapeId="18659" r:id="rId4"/>
      </mc:Fallback>
    </mc:AlternateContent>
  </oleObjects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0"/>
  <dimension ref="A1:BF70"/>
  <sheetViews>
    <sheetView zoomScale="75" zoomScaleNormal="75" zoomScaleSheetLayoutView="75" workbookViewId="0">
      <selection activeCell="AS27" sqref="AS27"/>
    </sheetView>
  </sheetViews>
  <sheetFormatPr defaultRowHeight="12.75" x14ac:dyDescent="0.2"/>
  <cols>
    <col min="1" max="1" width="15.5703125" customWidth="1"/>
    <col min="2" max="2" width="12.28515625" bestFit="1" customWidth="1"/>
    <col min="3" max="3" width="10" bestFit="1" customWidth="1"/>
    <col min="4" max="4" width="1" customWidth="1"/>
    <col min="5" max="5" width="11" bestFit="1" customWidth="1"/>
    <col min="6" max="6" width="10.5703125" bestFit="1" customWidth="1"/>
    <col min="7" max="7" width="11" bestFit="1" customWidth="1"/>
    <col min="8" max="8" width="10.85546875" bestFit="1" customWidth="1"/>
    <col min="9" max="10" width="12.140625" bestFit="1" customWidth="1"/>
    <col min="11" max="11" width="10.85546875" bestFit="1" customWidth="1"/>
    <col min="12" max="13" width="12.28515625" bestFit="1" customWidth="1"/>
    <col min="14" max="14" width="13.5703125" customWidth="1"/>
    <col min="15" max="15" width="1" customWidth="1"/>
    <col min="16" max="16" width="11.7109375" bestFit="1" customWidth="1"/>
    <col min="17" max="17" width="13.42578125" bestFit="1" customWidth="1"/>
    <col min="18" max="18" width="0.85546875" customWidth="1"/>
    <col min="19" max="19" width="12.140625" bestFit="1" customWidth="1"/>
    <col min="20" max="20" width="10.85546875" bestFit="1" customWidth="1"/>
    <col min="21" max="21" width="1" customWidth="1"/>
    <col min="22" max="22" width="11.5703125" bestFit="1" customWidth="1"/>
    <col min="23" max="23" width="11.140625" customWidth="1"/>
    <col min="24" max="24" width="0.85546875" customWidth="1"/>
    <col min="25" max="26" width="21.28515625" customWidth="1"/>
    <col min="27" max="27" width="12.140625" bestFit="1" customWidth="1"/>
    <col min="28" max="28" width="10.85546875" bestFit="1" customWidth="1"/>
    <col min="29" max="29" width="1" customWidth="1"/>
    <col min="30" max="30" width="11.5703125" bestFit="1" customWidth="1"/>
    <col min="31" max="31" width="11" bestFit="1" customWidth="1"/>
    <col min="32" max="32" width="0.85546875" customWidth="1"/>
    <col min="33" max="33" width="13.28515625" bestFit="1" customWidth="1"/>
    <col min="34" max="34" width="13.85546875" bestFit="1" customWidth="1"/>
    <col min="35" max="35" width="11" bestFit="1" customWidth="1"/>
    <col min="36" max="37" width="11.7109375" bestFit="1" customWidth="1"/>
    <col min="38" max="38" width="12.28515625" bestFit="1" customWidth="1"/>
    <col min="39" max="40" width="11.42578125" bestFit="1" customWidth="1"/>
    <col min="41" max="41" width="11.7109375" bestFit="1" customWidth="1"/>
    <col min="42" max="42" width="11.7109375" customWidth="1"/>
    <col min="43" max="43" width="15.5703125" bestFit="1" customWidth="1"/>
    <col min="44" max="44" width="18.85546875" customWidth="1"/>
    <col min="45" max="45" width="18.28515625" bestFit="1" customWidth="1"/>
    <col min="46" max="46" width="15.140625" bestFit="1" customWidth="1"/>
    <col min="47" max="47" width="1" customWidth="1"/>
    <col min="48" max="48" width="16.85546875" customWidth="1"/>
    <col min="49" max="49" width="16.28515625" customWidth="1"/>
  </cols>
  <sheetData>
    <row r="1" spans="1:49" s="2" customFormat="1" ht="26.25" x14ac:dyDescent="0.2">
      <c r="A1" s="1001" t="s">
        <v>137</v>
      </c>
      <c r="B1" s="1003"/>
      <c r="C1" s="1003"/>
      <c r="D1" s="1003"/>
      <c r="E1" s="101" t="e">
        <f ca="1">IF(AND(AW7="Pass"),"Pass","Fail")</f>
        <v>#REF!</v>
      </c>
      <c r="F1" s="40"/>
      <c r="AU1" s="50"/>
    </row>
    <row r="2" spans="1:49" ht="18" x14ac:dyDescent="0.2">
      <c r="A2" s="81" t="s">
        <v>58</v>
      </c>
      <c r="B2" s="327" t="e">
        <f>'DDR2 Clocks - 2L'!B2</f>
        <v>#REF!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</row>
    <row r="3" spans="1:49" s="41" customFormat="1" ht="87.75" customHeight="1" x14ac:dyDescent="0.2">
      <c r="A3" s="320" t="s">
        <v>494</v>
      </c>
      <c r="B3" s="86" t="s">
        <v>511</v>
      </c>
      <c r="C3" s="323" t="s">
        <v>512</v>
      </c>
      <c r="D3" s="88"/>
      <c r="E3" s="87" t="e">
        <f>"Escape       Length L0 ["&amp;$B$2&amp;"]"</f>
        <v>#REF!</v>
      </c>
      <c r="F3" s="87" t="e">
        <f>"Breakout Length L1  ["&amp;$B$2&amp;"]"</f>
        <v>#REF!</v>
      </c>
      <c r="G3" s="87" t="e">
        <f>"Main      Length L2  ["&amp;$B$2&amp;"]"</f>
        <v>#REF!</v>
      </c>
      <c r="H3" s="87" t="e">
        <f>"Breakin     Length S1  ["&amp;$B$2&amp;"]"</f>
        <v>#REF!</v>
      </c>
      <c r="I3" s="107" t="e">
        <f>"Stripline Route to Rs L3 ["&amp;$B$2&amp;"]"</f>
        <v>#REF!</v>
      </c>
      <c r="J3" s="107" t="e">
        <f>"Breakin to Rs L4 ["&amp;$B$2&amp;"]"</f>
        <v>#REF!</v>
      </c>
      <c r="K3" s="107" t="e">
        <f>"Rs length ["&amp;$B$2&amp;"]"</f>
        <v>#REF!</v>
      </c>
      <c r="L3" s="107" t="e">
        <f>"Breakout from Rs L5 ["&amp;$B$2&amp;"]"</f>
        <v>#REF!</v>
      </c>
      <c r="M3" s="107" t="e">
        <f>"Stripline between Rs and SDRAM L6 ["&amp;$B$2&amp;"]"</f>
        <v>#REF!</v>
      </c>
      <c r="N3" s="107" t="e">
        <f>"Microstrip to SDRAM L7 ["&amp;$B$2&amp;"]"</f>
        <v>#REF!</v>
      </c>
      <c r="O3" s="107"/>
      <c r="P3" s="532" t="e">
        <f>"Total MB Length to SODIMM (L0+L1+L2+S1)  ["&amp;$B$2&amp;"]"</f>
        <v>#REF!</v>
      </c>
      <c r="Q3" s="5" t="e">
        <f>"Total Pad-to-SODIMM Connector Length (P0+L0+L1+L2+S1)  ["&amp;$B$2&amp;"]"</f>
        <v>#REF!</v>
      </c>
      <c r="R3" s="5"/>
      <c r="S3" s="5" t="e">
        <f>"Target Min Length to SODIMM
["&amp;$B$2&amp;"]"</f>
        <v>#REF!</v>
      </c>
      <c r="T3" s="5" t="e">
        <f>"Target Max Length to SODIMM 
["&amp;$B$2&amp;"]"</f>
        <v>#REF!</v>
      </c>
      <c r="U3" s="5"/>
      <c r="V3" s="5" t="e">
        <f>"Length to SODIMM Routed Too Short  ["&amp;$B$2&amp;"]"</f>
        <v>#REF!</v>
      </c>
      <c r="W3" s="5" t="e">
        <f>"Length to SODIMM Routed Too Long  ["&amp;$B$2&amp;"]"</f>
        <v>#REF!</v>
      </c>
      <c r="X3" s="5"/>
      <c r="Y3" s="532" t="e">
        <f>"Total MB Length to SDRAM (L0+L1+L2+L3+L4+Rs+L5+L6+L7)  ["&amp;$B$2&amp;"]"</f>
        <v>#REF!</v>
      </c>
      <c r="Z3" s="5" t="e">
        <f>"Total Pad-to-SDRAM Pin Length (P0+L0+L1+L2+L3+L4+Rs+L5+L6+L7)  ["&amp;$B$2&amp;"]"</f>
        <v>#REF!</v>
      </c>
      <c r="AA3" s="5" t="e">
        <f>"Target Min Length to SDRAM (U1-U8)
["&amp;$B$2&amp;"]"</f>
        <v>#REF!</v>
      </c>
      <c r="AB3" s="5" t="e">
        <f>"Target Max Length to SDRAM (U1-U8) 
["&amp;$B$2&amp;"]"</f>
        <v>#REF!</v>
      </c>
      <c r="AC3" s="5"/>
      <c r="AD3" s="5" t="e">
        <f>"Length to SDRAM (U1-U8) Routed Too Short  ["&amp;$B$2&amp;"]"</f>
        <v>#REF!</v>
      </c>
      <c r="AE3" s="5" t="e">
        <f>"Length to SDRAM (U1-U8) Routed Too Long  ["&amp;$B$2&amp;"]"</f>
        <v>#REF!</v>
      </c>
      <c r="AF3" s="5"/>
      <c r="AG3" s="5" t="e">
        <f>"DQS-DQS# SODIMM Length Test
(&lt;="&amp;IF($B$2="mil",1,0.0254)*5&amp;$B$2&amp;")"</f>
        <v>#REF!</v>
      </c>
      <c r="AH3" s="5" t="e">
        <f>"DQS-DQS# SDRAM (U1-U8) Length Test
(&lt;="&amp;IF($B$2="mil",1,0.0254)*5&amp;$B$2&amp;")"</f>
        <v>#REF!</v>
      </c>
      <c r="AI3" s="5" t="e">
        <f>"L0 Length Test (&lt;="&amp;IF($B$2="mil",1,0.0254)*50&amp;$B$2&amp;")"</f>
        <v>#REF!</v>
      </c>
      <c r="AJ3" s="5" t="e">
        <f>"L1 Length Test (&lt;="&amp;IF($B$2="mil",1,0.0254)*500&amp;$B$2&amp;")"</f>
        <v>#REF!</v>
      </c>
      <c r="AK3" s="5" t="e">
        <f>"S1 Length test (&lt;="&amp;IF($B$2="mil",1,0.0254)*250&amp;$B$2&amp;")"</f>
        <v>#REF!</v>
      </c>
      <c r="AL3" s="5" t="e">
        <f>"L3 Length Test (&lt;="&amp;IF($B$2="mil",1,0.0254)*1000&amp;$B$2&amp;" or L3 + L4 &lt;= "&amp;IF($B$2="mil",1,0.0254)*1125&amp;$B$2&amp;")"</f>
        <v>#REF!</v>
      </c>
      <c r="AM3" s="5" t="e">
        <f>"L4 Length Test (&lt;="&amp;IF($B$2="mil",1,0.0254)*125&amp;$B$2&amp;")"</f>
        <v>#REF!</v>
      </c>
      <c r="AN3" s="5" t="e">
        <f>"L5 Length Test (&lt;="&amp;IF($B$2="mil",1,0.0254)*125&amp;$B$2&amp;")"</f>
        <v>#REF!</v>
      </c>
      <c r="AO3" s="5" t="e">
        <f>"L6 Length Test (&lt;="&amp;IF($B$2="mil",1,0.0254)*1250&amp;$B$2&amp;" or L5+L6+L7 &lt;="&amp;IF($B$2="mil",1,0.0254)*1525&amp;$B$2&amp;")"</f>
        <v>#REF!</v>
      </c>
      <c r="AP3" s="5" t="e">
        <f>"L7 Length Test (&lt;="&amp;IF($B$2="mil",1,0.0254)*150&amp;$B$2&amp;") or (L6+L7&lt;= "&amp;IF($B$2="mil",1,0.0254)*1400&amp;$B$2&amp;")"</f>
        <v>#REF!</v>
      </c>
      <c r="AQ3" s="5" t="e">
        <f>"Total MB Length to SODIMM (L0+L1+L2+S1) Test
 "&amp;IF($B$2="mil","(500-4000mil)","(12.7-114.3mm)")</f>
        <v>#REF!</v>
      </c>
      <c r="AR3" s="5" t="e">
        <f>"Total Length to SODIMM (P0+L0+L1+L2+S1) Test
 (&lt;="&amp; IF($B$2="mil","4500mil","127mm")&amp;")"</f>
        <v>#REF!</v>
      </c>
      <c r="AS3" s="5" t="e">
        <f>"Total MB Length to SDRAM (L0+L1+L2+L3+L4+Rs+L5+L6+L7) Test
 "&amp;IF($B$2="mil","(500-5500mil)","(12.7-114.3mm)")</f>
        <v>#REF!</v>
      </c>
      <c r="AT3" s="5" t="e">
        <f>"Total Length to SDRAM (P0+L0+L1+L2+L3+L4+Rs+L5+L6+L7) Test
 (&lt;="&amp; IF($B$2="mil","6000mil","127mm")&amp;")"</f>
        <v>#REF!</v>
      </c>
      <c r="AU3" s="5"/>
    </row>
    <row r="4" spans="1:49" s="2" customFormat="1" x14ac:dyDescent="0.2">
      <c r="A4" s="94" t="s">
        <v>297</v>
      </c>
      <c r="B4" s="325"/>
      <c r="C4" s="90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7"/>
      <c r="Q4" s="42"/>
      <c r="R4" s="8"/>
      <c r="S4" s="8"/>
      <c r="T4" s="8"/>
      <c r="U4" s="8"/>
      <c r="V4" s="8"/>
      <c r="W4" s="8"/>
      <c r="X4" s="8"/>
      <c r="Y4" s="7"/>
      <c r="Z4" s="42"/>
      <c r="AA4" s="8"/>
      <c r="AB4" s="13"/>
      <c r="AC4" s="8"/>
      <c r="AD4" s="13"/>
      <c r="AE4" s="13"/>
      <c r="AF4" s="8"/>
      <c r="AG4" s="13"/>
      <c r="AH4" s="13"/>
      <c r="AI4" s="13"/>
      <c r="AJ4" s="13"/>
      <c r="AK4" s="13"/>
      <c r="AL4" s="8"/>
      <c r="AM4" s="8"/>
      <c r="AN4" s="8"/>
      <c r="AO4" s="8"/>
      <c r="AP4" s="8"/>
      <c r="AQ4" s="8"/>
      <c r="AR4" s="8"/>
      <c r="AS4" s="8"/>
      <c r="AT4" s="8"/>
      <c r="AU4" s="10"/>
    </row>
    <row r="5" spans="1:49" s="2" customFormat="1" x14ac:dyDescent="0.2">
      <c r="A5" s="321" t="s">
        <v>72</v>
      </c>
      <c r="B5" s="108"/>
      <c r="C5" s="324"/>
      <c r="D5" s="44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67"/>
      <c r="Q5" s="54"/>
      <c r="R5" s="485" t="s">
        <v>282</v>
      </c>
      <c r="S5" s="145" t="e">
        <f>MIN('DDR2 Clocks - 4L'!$O$22:$O$25)</f>
        <v>#REF!</v>
      </c>
      <c r="T5" s="486" t="e">
        <f>MAX('DDR2 Clocks - 4L'!$O$22:$O$25)</f>
        <v>#REF!</v>
      </c>
      <c r="U5" s="44"/>
      <c r="V5" s="54"/>
      <c r="W5" s="54"/>
      <c r="X5" s="485"/>
      <c r="Y5" s="67"/>
      <c r="Z5" s="485" t="s">
        <v>272</v>
      </c>
      <c r="AA5" s="487" t="e">
        <f>MIN('DDR2 Clocks - 4L'!$O$5:$O$6)</f>
        <v>#REF!</v>
      </c>
      <c r="AB5" s="486" t="e">
        <f>MAX('DDR2 Clocks - 4L'!$O$5:$O$6)</f>
        <v>#REF!</v>
      </c>
      <c r="AC5" s="54"/>
      <c r="AD5" s="54"/>
      <c r="AE5" s="54"/>
      <c r="AF5" s="485"/>
      <c r="AG5" s="54"/>
      <c r="AH5" s="54"/>
      <c r="AI5" s="54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8"/>
    </row>
    <row r="6" spans="1:49" s="2" customFormat="1" x14ac:dyDescent="0.2">
      <c r="A6" s="94" t="s">
        <v>298</v>
      </c>
      <c r="B6" s="326"/>
      <c r="C6" s="104"/>
      <c r="D6" s="51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55"/>
      <c r="U6" s="45"/>
      <c r="V6" s="55"/>
      <c r="W6" s="55"/>
      <c r="X6" s="55"/>
      <c r="Y6" s="45"/>
      <c r="Z6" s="45"/>
      <c r="AA6" s="55"/>
      <c r="AB6" s="56"/>
      <c r="AC6" s="55"/>
      <c r="AD6" s="45"/>
      <c r="AE6" s="45"/>
      <c r="AF6" s="55"/>
      <c r="AG6" s="45"/>
      <c r="AH6" s="45"/>
      <c r="AI6" s="45"/>
      <c r="AJ6" s="55"/>
      <c r="AK6" s="55"/>
      <c r="AL6" s="55"/>
      <c r="AM6" s="55"/>
      <c r="AN6" s="55"/>
      <c r="AO6" s="55"/>
      <c r="AP6" s="55"/>
      <c r="AQ6" s="55"/>
      <c r="AR6" s="55"/>
      <c r="AS6" s="55"/>
      <c r="AT6" s="55"/>
      <c r="AU6" s="57"/>
    </row>
    <row r="7" spans="1:49" s="2" customFormat="1" x14ac:dyDescent="0.2">
      <c r="A7" s="578" t="e">
        <f ca="1">Assign1x8(#REF!,"Name")</f>
        <v>#NAME?</v>
      </c>
      <c r="B7" s="578" t="e">
        <f ca="1">Assign1x8(#REF!,"Ball")</f>
        <v>#NAME?</v>
      </c>
      <c r="C7" s="578" t="e">
        <f ca="1">Assign1x8(#REF!,"Len")</f>
        <v>#NAME?</v>
      </c>
      <c r="D7" s="16"/>
      <c r="E7" s="17">
        <v>29.7</v>
      </c>
      <c r="F7" s="17">
        <v>0</v>
      </c>
      <c r="G7" s="271">
        <v>2200</v>
      </c>
      <c r="H7" s="271">
        <v>80.47</v>
      </c>
      <c r="I7" s="17">
        <v>0</v>
      </c>
      <c r="J7" s="271">
        <v>78.709999999999994</v>
      </c>
      <c r="K7" s="17">
        <v>40</v>
      </c>
      <c r="L7" s="271">
        <v>100</v>
      </c>
      <c r="M7" s="271">
        <v>726.24</v>
      </c>
      <c r="N7" s="271">
        <v>350</v>
      </c>
      <c r="O7" s="58"/>
      <c r="P7" s="441">
        <f xml:space="preserve"> E7+F7+G7+H7</f>
        <v>2310.1699999999996</v>
      </c>
      <c r="Q7" s="441" t="e">
        <f ca="1">P7+IF($B$2="mil",1,0.0254)*C7</f>
        <v>#REF!</v>
      </c>
      <c r="R7" s="533"/>
      <c r="S7" s="441" t="e">
        <f>MAX(S$5:T$5)+IF($B$2="mil",1,0.0254)*DDR2Specs!$B$2</f>
        <v>#REF!</v>
      </c>
      <c r="T7" s="441" t="e">
        <f>MIN(S$5:T$5)+IF($B$2="mil",1,0.0254)*DDR2Specs!$C$2</f>
        <v>#REF!</v>
      </c>
      <c r="U7" s="533"/>
      <c r="V7" s="534" t="e">
        <f ca="1">IF($Q7&lt;$S7,$S7-$Q7,"Pass")</f>
        <v>#REF!</v>
      </c>
      <c r="W7" s="447" t="e">
        <f ca="1">IF($Q7&gt;$T7,$Q7-$T7,"Pass")</f>
        <v>#REF!</v>
      </c>
      <c r="X7" s="18"/>
      <c r="Y7" s="441">
        <f>SUM(E7:G7,I7:N7)</f>
        <v>3524.6499999999996</v>
      </c>
      <c r="Z7" s="441" t="e">
        <f ca="1">Y7+IF($B$2="mil",1,0.0254)*$C7</f>
        <v>#REF!</v>
      </c>
      <c r="AA7" s="441" t="e">
        <f>MAX(AA$5:AB$5)+IF($B$2="mil",1,0.0254)*DDR2Specs!$E$2</f>
        <v>#REF!</v>
      </c>
      <c r="AB7" s="441" t="e">
        <f>MIN(AA$5:AB$5)+IF($B$2="mil",1,0.0254)*DDR2Specs!$F$2</f>
        <v>#REF!</v>
      </c>
      <c r="AC7" s="18"/>
      <c r="AD7" s="534" t="e">
        <f ca="1">IF($Z7&lt;$AA7,$AA7-$Z7,"Pass")</f>
        <v>#REF!</v>
      </c>
      <c r="AE7" s="447" t="e">
        <f ca="1">IF($Z7&gt;$AB7,$Z7-$AB7,"Pass")</f>
        <v>#REF!</v>
      </c>
      <c r="AF7" s="18"/>
      <c r="AG7" s="447" t="e">
        <f ca="1">IF((ABS($Q7-$Q8)&lt;=IF($B$2="mil",1,0.0254)*5),"Pass",ABS($Q7-$Q8))</f>
        <v>#REF!</v>
      </c>
      <c r="AH7" s="447" t="e">
        <f ca="1">IF((ABS($Z7-$Z8)&lt;=IF($B$2="mil",1,0.0254)*5),"Pass",ABS($Z7-$Z8))</f>
        <v>#REF!</v>
      </c>
      <c r="AI7" s="447" t="e">
        <f>IF($E7&lt;=IF($B$2="mil",1,0.0254)*50,"Pass",IF($B$2="mil",1,0.0254)*50-$E7)</f>
        <v>#REF!</v>
      </c>
      <c r="AJ7" s="447" t="e">
        <f>IF($F7&lt;=IF($B$2="mil",1,0.0254)*500,"Pass",IF($B$2="mil",1,0.0254)*500-$F7)</f>
        <v>#REF!</v>
      </c>
      <c r="AK7" s="447" t="e">
        <f>IF($H7&lt;=IF($B$2="mil",1,0.0254)*250,"Pass",IF($B$2="mil",1,0.0254)*250-$H7)</f>
        <v>#REF!</v>
      </c>
      <c r="AL7" s="447" t="e">
        <f ca="1">CheckLength(IF($B$2="mil",1,0.0254)*1125, IF($B$2="mil",1,0.0254)*125-J7, 0, I7,J7,0)</f>
        <v>#NAME?</v>
      </c>
      <c r="AM7" s="447" t="e">
        <f>IF($J7&lt;=IF($B$2="mil",1,0.0254)*125,"Pass",IF($B$2="mil",1,0.0254)*125-$J7)</f>
        <v>#REF!</v>
      </c>
      <c r="AN7" s="447" t="e">
        <f>IF($L7&lt;=IF($B$2="mil",1,0.0254)*125,"Pass",IF($B$2="mil",1,0.0254)*125-$L7)</f>
        <v>#REF!</v>
      </c>
      <c r="AO7" s="447" t="e">
        <f ca="1">CheckLength(IF($B$2="mil",1,0.0254)*1250, IF($B$2="mil",1,0.0254)*125-L7, IF($B$2="mil",1,0.0254)*150-N7, M7,L7,N7)</f>
        <v>#NAME?</v>
      </c>
      <c r="AP7" s="447" t="e">
        <f ca="1">CheckLength2(IF($B$2="mil",1,0.0254)*1400,$M7,$N7,0)</f>
        <v>#NAME?</v>
      </c>
      <c r="AQ7" s="447" t="e">
        <f>IF(AND($P7&gt;=IF($B$2="mil",1,0.0254)*500, $P7&lt;=IF($B$2="mil",1,0.0254)*4000),"Pass",IF($B$2="mil",1,0.0254)*4000-$P7)</f>
        <v>#REF!</v>
      </c>
      <c r="AR7" s="447" t="e">
        <f ca="1">IF(AND($Q7&gt;=IF($B$2="mil",1,0.0254)*500, $Q7&lt;=IF($B$2="mil",1,0.0254)*4500),"Pass",IF($B$2="mil",1,0.0254)*4500-$Q7)</f>
        <v>#REF!</v>
      </c>
      <c r="AS7" s="447" t="e">
        <f>IF(AND($Y7&gt;=IF($B$2="mil",1,0.0254)*500, $Y7&lt;=IF($B$2="mil",1,0.0254)*5000),"Pass",IF($B$2="mil",1,0.0254)*5000-$Y7)</f>
        <v>#REF!</v>
      </c>
      <c r="AT7" s="447" t="e">
        <f ca="1">IF(AND($Z7&gt;=IF($B$2="mil",1,0.0254)*500, $Z7&lt;=IF($B$2="mil",1,0.0254)*6000),"Pass",IF($B$2="mil",1,0.0254)*6000-$Z7)</f>
        <v>#REF!</v>
      </c>
      <c r="AU7" s="18"/>
      <c r="AV7" s="2" t="e">
        <f ca="1">IF(AND(AI7="Pass",AR7="Pass",AK7="Pass",AJ7="Pass",AQ7="Pass",V7="Pass",W7="Pass",AO7="Pass",AP7="Pass",AN7="Pass",AM7="Pass",AL7="Pass",AG7="Pass",AH7="Pass",AS7="Pass",AT7="Pass",AD7="Pass",AE7="Pass"),"Pass","Fail")</f>
        <v>#REF!</v>
      </c>
      <c r="AW7" s="2" t="e">
        <f ca="1">IF(AND(AV7="Pass",AV8="Pass",AV12="Pass",AV13="Pass",AV17="Pass",AV18="Pass",AV22="Pass",AV23="Pass",AV27="Pass",AV28="Pass",AV32="Pass",AV33="Pass",AV37="Pass",AV38="Pass",AV42="Pass",AV43="Pass"),"Pass","Fail")</f>
        <v>#REF!</v>
      </c>
    </row>
    <row r="8" spans="1:49" s="2" customFormat="1" x14ac:dyDescent="0.2">
      <c r="A8" s="578" t="e">
        <f ca="1">Assign1x8(#REF!,"Name_P")</f>
        <v>#NAME?</v>
      </c>
      <c r="B8" s="578" t="e">
        <f ca="1">Assign1x8(#REF!,"Ball_P")</f>
        <v>#NAME?</v>
      </c>
      <c r="C8" s="578" t="e">
        <f ca="1">Assign1x8(#REF!,"Len_P")</f>
        <v>#NAME?</v>
      </c>
      <c r="D8" s="16"/>
      <c r="E8" s="17">
        <v>29.7</v>
      </c>
      <c r="F8" s="17">
        <v>0</v>
      </c>
      <c r="G8" s="271">
        <v>2200</v>
      </c>
      <c r="H8" s="271">
        <v>80.430000000000007</v>
      </c>
      <c r="I8" s="17">
        <v>0</v>
      </c>
      <c r="J8" s="271">
        <v>65.78</v>
      </c>
      <c r="K8" s="17">
        <v>40</v>
      </c>
      <c r="L8" s="271">
        <v>120</v>
      </c>
      <c r="M8" s="271">
        <v>723.24</v>
      </c>
      <c r="N8" s="271">
        <v>350</v>
      </c>
      <c r="O8" s="58"/>
      <c r="P8" s="441">
        <f xml:space="preserve"> E8+F8+G8+H8</f>
        <v>2310.1299999999997</v>
      </c>
      <c r="Q8" s="441" t="e">
        <f ca="1">P8+IF($B$2="mil",1,0.0254)*C8</f>
        <v>#REF!</v>
      </c>
      <c r="R8" s="533"/>
      <c r="S8" s="441" t="e">
        <f>MAX(S$5:T$5)+IF($B$2="mil",1,0.0254)*DDR2Specs!$B$2</f>
        <v>#REF!</v>
      </c>
      <c r="T8" s="441" t="e">
        <f>MIN(S$5:T$5)+IF($B$2="mil",1,0.0254)*DDR2Specs!$C$2</f>
        <v>#REF!</v>
      </c>
      <c r="U8" s="533"/>
      <c r="V8" s="534" t="e">
        <f ca="1">IF($Q8&lt;$S8,$S8-$Q8,"Pass")</f>
        <v>#REF!</v>
      </c>
      <c r="W8" s="447" t="e">
        <f ca="1">IF($Q8&gt;$T8,$Q8-$T8,"Pass")</f>
        <v>#REF!</v>
      </c>
      <c r="X8" s="18"/>
      <c r="Y8" s="441">
        <f>SUM(E8:G8,I8:N8)</f>
        <v>3528.7200000000003</v>
      </c>
      <c r="Z8" s="441" t="e">
        <f ca="1">Y8+IF($B$2="mil",1,0.0254)*$C8</f>
        <v>#REF!</v>
      </c>
      <c r="AA8" s="441" t="e">
        <f>MAX(AA$5:AB$5)+IF($B$2="mil",1,0.0254)*DDR2Specs!$E$2</f>
        <v>#REF!</v>
      </c>
      <c r="AB8" s="441" t="e">
        <f>MIN(AA$5:AB$5)+IF($B$2="mil",1,0.0254)*DDR2Specs!$F$2</f>
        <v>#REF!</v>
      </c>
      <c r="AC8" s="18"/>
      <c r="AD8" s="534" t="e">
        <f ca="1">IF($Z8&lt;$AA8,$AA8-$Z8,"Pass")</f>
        <v>#REF!</v>
      </c>
      <c r="AE8" s="447" t="e">
        <f ca="1">IF($Z8&gt;$AB8,$Z8-$AB8,"Pass")</f>
        <v>#REF!</v>
      </c>
      <c r="AF8" s="18"/>
      <c r="AG8" s="447" t="e">
        <f ca="1">IF((ABS($Q8-$Q7)&lt;=IF($B$2="mil",1,0.0254)*5),"Pass",ABS($Q8-$Q7))</f>
        <v>#REF!</v>
      </c>
      <c r="AH8" s="447" t="e">
        <f ca="1">IF((ABS($Z8-$Z7)&lt;=IF($B$2="mil",1,0.0254)*5),"Pass",ABS($Z8-$Z7))</f>
        <v>#REF!</v>
      </c>
      <c r="AI8" s="447" t="e">
        <f>IF($E8&lt;=IF($B$2="mil",1,0.0254)*50,"Pass",IF($B$2="mil",1,0.0254)*50-$E8)</f>
        <v>#REF!</v>
      </c>
      <c r="AJ8" s="447" t="e">
        <f>IF($F8&lt;=IF($B$2="mil",1,0.0254)*500,"Pass",IF($B$2="mil",1,0.0254)*500-$F8)</f>
        <v>#REF!</v>
      </c>
      <c r="AK8" s="447" t="e">
        <f>IF($H8&lt;=IF($B$2="mil",1,0.0254)*250,"Pass",IF($B$2="mil",1,0.0254)*250-$H8)</f>
        <v>#REF!</v>
      </c>
      <c r="AL8" s="447" t="e">
        <f ca="1">CheckLength(IF($B$2="mil",1,0.0254)*1125, IF($B$2="mil",1,0.0254)*125-J8, 0, I8,J8,0)</f>
        <v>#NAME?</v>
      </c>
      <c r="AM8" s="447" t="e">
        <f>IF($J8&lt;=IF($B$2="mil",1,0.0254)*125,"Pass",IF($B$2="mil",1,0.0254)*125-$J8)</f>
        <v>#REF!</v>
      </c>
      <c r="AN8" s="447" t="e">
        <f>IF($L8&lt;=IF($B$2="mil",1,0.0254)*125,"Pass",IF($B$2="mil",1,0.0254)*125-$L8)</f>
        <v>#REF!</v>
      </c>
      <c r="AO8" s="447" t="e">
        <f ca="1">CheckLength(IF($B$2="mil",1,0.0254)*1250, IF($B$2="mil",1,0.0254)*125-L8, IF($B$2="mil",1,0.0254)*150-N8, M8,L8,N8)</f>
        <v>#NAME?</v>
      </c>
      <c r="AP8" s="447" t="e">
        <f ca="1">CheckLength2(IF($B$2="mil",1,0.0254)*1400,$M8,$N8,0)</f>
        <v>#NAME?</v>
      </c>
      <c r="AQ8" s="447" t="e">
        <f>IF(AND($P8&gt;=IF($B$2="mil",1,0.0254)*500, $P8&lt;=IF($B$2="mil",1,0.0254)*4000),"Pass",IF($B$2="mil",1,0.0254)*4000-$P8)</f>
        <v>#REF!</v>
      </c>
      <c r="AR8" s="447" t="e">
        <f ca="1">IF(AND($Q8&gt;=IF($B$2="mil",1,0.0254)*500, $Q8&lt;=IF($B$2="mil",1,0.0254)*4500),"Pass",IF($B$2="mil",1,0.0254)*4500-$Q8)</f>
        <v>#REF!</v>
      </c>
      <c r="AS8" s="447" t="e">
        <f>IF(AND($Y8&gt;=IF($B$2="mil",1,0.0254)*500, $Y8&lt;=IF($B$2="mil",1,0.0254)*5000),"Pass",IF($B$2="mil",1,0.0254)*5000-$Y8)</f>
        <v>#REF!</v>
      </c>
      <c r="AT8" s="447" t="e">
        <f ca="1">IF(AND($Z8&gt;=IF($B$2="mil",1,0.0254)*500, $Z8&lt;=IF($B$2="mil",1,0.0254)*6000),"Pass",IF($B$2="mil",1,0.0254)*6000-$Z8)</f>
        <v>#REF!</v>
      </c>
      <c r="AU8" s="18"/>
      <c r="AV8" s="2" t="e">
        <f ca="1">IF(AND(AI8="Pass",AR8="Pass",AK8="Pass",AJ8="Pass",AQ8="Pass",V8="Pass",W8="Pass",AO8="Pass",AP8="Pass",AN8="Pass",AM8="Pass",AL8="Pass",AG8="Pass",AH8="Pass",AS8="Pass",AT8="Pass",AD8="Pass",AE8="Pass"),"Pass","Fail")</f>
        <v>#REF!</v>
      </c>
    </row>
    <row r="9" spans="1:49" s="2" customFormat="1" x14ac:dyDescent="0.2">
      <c r="A9" s="6" t="s">
        <v>297</v>
      </c>
      <c r="B9" s="558"/>
      <c r="C9" s="559"/>
      <c r="D9" s="8"/>
      <c r="E9" s="258"/>
      <c r="F9" s="258"/>
      <c r="G9" s="258"/>
      <c r="H9" s="258"/>
      <c r="I9" s="258"/>
      <c r="J9" s="262"/>
      <c r="K9" s="8"/>
      <c r="L9" s="262"/>
      <c r="M9" s="262"/>
      <c r="N9" s="262"/>
      <c r="O9" s="8"/>
      <c r="P9" s="7"/>
      <c r="Q9" s="42"/>
      <c r="R9" s="8"/>
      <c r="S9" s="8"/>
      <c r="T9" s="8"/>
      <c r="U9" s="8"/>
      <c r="V9" s="8"/>
      <c r="W9" s="8"/>
      <c r="X9" s="8"/>
      <c r="Y9" s="7"/>
      <c r="Z9" s="42"/>
      <c r="AA9" s="8"/>
      <c r="AB9" s="13"/>
      <c r="AC9" s="8"/>
      <c r="AD9" s="13"/>
      <c r="AE9" s="13"/>
      <c r="AF9" s="8"/>
      <c r="AG9" s="13"/>
      <c r="AH9" s="13"/>
      <c r="AI9" s="13"/>
      <c r="AJ9" s="13"/>
      <c r="AK9" s="13"/>
      <c r="AL9" s="8"/>
      <c r="AM9" s="8"/>
      <c r="AN9" s="8"/>
      <c r="AO9" s="8"/>
      <c r="AP9" s="8"/>
      <c r="AQ9" s="8"/>
      <c r="AR9" s="8"/>
      <c r="AS9" s="8"/>
      <c r="AT9" s="8"/>
      <c r="AU9" s="10"/>
    </row>
    <row r="10" spans="1:49" s="2" customFormat="1" x14ac:dyDescent="0.2">
      <c r="A10" s="579" t="s">
        <v>72</v>
      </c>
      <c r="B10" s="580"/>
      <c r="C10" s="574"/>
      <c r="D10" s="44"/>
      <c r="E10" s="259"/>
      <c r="F10" s="259"/>
      <c r="G10" s="259"/>
      <c r="H10" s="259"/>
      <c r="I10" s="259"/>
      <c r="J10" s="263"/>
      <c r="K10" s="43"/>
      <c r="L10" s="263"/>
      <c r="M10" s="263"/>
      <c r="N10" s="263"/>
      <c r="O10" s="43"/>
      <c r="P10" s="67"/>
      <c r="Q10" s="54"/>
      <c r="R10" s="485"/>
      <c r="S10" s="145"/>
      <c r="T10" s="486"/>
      <c r="U10" s="44"/>
      <c r="V10" s="54"/>
      <c r="W10" s="54"/>
      <c r="X10" s="485"/>
      <c r="Y10" s="67"/>
      <c r="Z10" s="485" t="s">
        <v>332</v>
      </c>
      <c r="AA10" s="487" t="e">
        <f>MIN('DDR2 Clocks - 4L'!$O$7:$O$8)</f>
        <v>#REF!</v>
      </c>
      <c r="AB10" s="486" t="e">
        <f>MAX('DDR2 Clocks - 4L'!$O$7:$O$8)</f>
        <v>#REF!</v>
      </c>
      <c r="AC10" s="54"/>
      <c r="AD10" s="54"/>
      <c r="AE10" s="54"/>
      <c r="AF10" s="485"/>
      <c r="AG10" s="54"/>
      <c r="AH10" s="54"/>
      <c r="AI10" s="54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8"/>
    </row>
    <row r="11" spans="1:49" s="2" customFormat="1" x14ac:dyDescent="0.2">
      <c r="A11" s="6" t="s">
        <v>298</v>
      </c>
      <c r="B11" s="581"/>
      <c r="C11" s="575"/>
      <c r="D11" s="51"/>
      <c r="E11" s="260"/>
      <c r="F11" s="260"/>
      <c r="G11" s="260"/>
      <c r="H11" s="260"/>
      <c r="I11" s="260"/>
      <c r="J11" s="264"/>
      <c r="K11" s="45"/>
      <c r="L11" s="264"/>
      <c r="M11" s="264"/>
      <c r="N11" s="264"/>
      <c r="O11" s="45"/>
      <c r="P11" s="45"/>
      <c r="Q11" s="45"/>
      <c r="R11" s="45"/>
      <c r="S11" s="45"/>
      <c r="T11" s="55"/>
      <c r="U11" s="45"/>
      <c r="V11" s="55"/>
      <c r="W11" s="55"/>
      <c r="X11" s="55"/>
      <c r="Y11" s="45"/>
      <c r="Z11" s="45"/>
      <c r="AA11" s="55"/>
      <c r="AB11" s="56"/>
      <c r="AC11" s="55"/>
      <c r="AD11" s="45"/>
      <c r="AE11" s="45"/>
      <c r="AF11" s="55"/>
      <c r="AG11" s="45"/>
      <c r="AH11" s="45"/>
      <c r="AI11" s="45"/>
      <c r="AJ11" s="55"/>
      <c r="AK11" s="55"/>
      <c r="AL11" s="55"/>
      <c r="AM11" s="55"/>
      <c r="AN11" s="55"/>
      <c r="AO11" s="55"/>
      <c r="AP11" s="55"/>
      <c r="AQ11" s="55"/>
      <c r="AR11" s="55"/>
      <c r="AS11" s="55"/>
      <c r="AT11" s="55"/>
      <c r="AU11" s="57"/>
    </row>
    <row r="12" spans="1:49" s="2" customFormat="1" x14ac:dyDescent="0.2">
      <c r="A12" s="578" t="e">
        <f ca="1">Assign1x8(#REF!,"Name")</f>
        <v>#NAME?</v>
      </c>
      <c r="B12" s="578" t="e">
        <f ca="1">Assign1x8(#REF!,"Ball")</f>
        <v>#NAME?</v>
      </c>
      <c r="C12" s="578" t="e">
        <f ca="1">Assign1x8(#REF!,"Len")</f>
        <v>#NAME?</v>
      </c>
      <c r="D12" s="16"/>
      <c r="E12" s="17">
        <v>29.7</v>
      </c>
      <c r="F12" s="17">
        <v>0</v>
      </c>
      <c r="G12" s="271">
        <v>2022.95</v>
      </c>
      <c r="H12" s="271">
        <v>79.39</v>
      </c>
      <c r="I12" s="17">
        <v>0</v>
      </c>
      <c r="J12" s="271">
        <v>57.5</v>
      </c>
      <c r="K12" s="17">
        <v>40</v>
      </c>
      <c r="L12" s="271">
        <v>120</v>
      </c>
      <c r="M12" s="271">
        <v>793.08</v>
      </c>
      <c r="N12" s="271">
        <v>340</v>
      </c>
      <c r="O12" s="58"/>
      <c r="P12" s="441">
        <f xml:space="preserve"> E12+F12+G12+H12</f>
        <v>2132.04</v>
      </c>
      <c r="Q12" s="441" t="e">
        <f ca="1">P12+IF($B$2="mil",1,0.0254)*C12</f>
        <v>#REF!</v>
      </c>
      <c r="R12" s="533"/>
      <c r="S12" s="441" t="e">
        <f>MAX(S$5:T$5)+IF($B$2="mil",1,0.0254)*DDR2Specs!$B$2</f>
        <v>#REF!</v>
      </c>
      <c r="T12" s="441" t="e">
        <f>MIN(S$5:T$5)+IF($B$2="mil",1,0.0254)*DDR2Specs!$C$2</f>
        <v>#REF!</v>
      </c>
      <c r="U12" s="533"/>
      <c r="V12" s="534" t="e">
        <f ca="1">IF($Q12&lt;$S12,$S12-$Q12,"Pass")</f>
        <v>#REF!</v>
      </c>
      <c r="W12" s="447" t="e">
        <f ca="1">IF($Q12&gt;$T12,$Q12-$T12,"Pass")</f>
        <v>#REF!</v>
      </c>
      <c r="X12" s="18"/>
      <c r="Y12" s="441">
        <f>SUM(E12:G12,I12:N12)</f>
        <v>3403.23</v>
      </c>
      <c r="Z12" s="441" t="e">
        <f ca="1">Y12+IF($B$2="mil",1,0.0254)*$C12</f>
        <v>#REF!</v>
      </c>
      <c r="AA12" s="441" t="e">
        <f>MAX(AA$10:AB$10)+IF($B$2="mil",1,0.0254)*DDR2Specs!$E$2</f>
        <v>#REF!</v>
      </c>
      <c r="AB12" s="441" t="e">
        <f>MIN(AA$10:AB$10)+IF($B$2="mil",1,0.0254)*DDR2Specs!$F$2</f>
        <v>#REF!</v>
      </c>
      <c r="AC12" s="18"/>
      <c r="AD12" s="534" t="e">
        <f ca="1">IF($Z12&lt;$AA12,$AA12-$Z12,"Pass")</f>
        <v>#REF!</v>
      </c>
      <c r="AE12" s="447" t="e">
        <f ca="1">IF($Z12&gt;$AB12,$Z12-$AB12,"Pass")</f>
        <v>#REF!</v>
      </c>
      <c r="AF12" s="18"/>
      <c r="AG12" s="447" t="e">
        <f ca="1">IF((ABS($Q12-$Q13)&lt;=IF($B$2="mil",1,0.0254)*5),"Pass",ABS($Q12-$Q13))</f>
        <v>#REF!</v>
      </c>
      <c r="AH12" s="447" t="e">
        <f ca="1">IF((ABS($Z12-$Z13)&lt;=IF($B$2="mil",1,0.0254)*5),"Pass",ABS($Z12-$Z13))</f>
        <v>#REF!</v>
      </c>
      <c r="AI12" s="447" t="e">
        <f>IF($E12&lt;=IF($B$2="mil",1,0.0254)*50,"Pass",IF($B$2="mil",1,0.0254)*50-$E12)</f>
        <v>#REF!</v>
      </c>
      <c r="AJ12" s="447" t="e">
        <f>IF($F12&lt;=IF($B$2="mil",1,0.0254)*500,"Pass",IF($B$2="mil",1,0.0254)*500-$F12)</f>
        <v>#REF!</v>
      </c>
      <c r="AK12" s="447" t="e">
        <f>IF($H12&lt;=IF($B$2="mil",1,0.0254)*250,"Pass",IF($B$2="mil",1,0.0254)*250-$H12)</f>
        <v>#REF!</v>
      </c>
      <c r="AL12" s="447" t="e">
        <f ca="1">CheckLength(IF($B$2="mil",1,0.0254)*1125, IF($B$2="mil",1,0.0254)*125-J12, 0, I12,J12,0)</f>
        <v>#NAME?</v>
      </c>
      <c r="AM12" s="447" t="e">
        <f>IF($J12&lt;=IF($B$2="mil",1,0.0254)*125,"Pass",IF($B$2="mil",1,0.0254)*125-$J12)</f>
        <v>#REF!</v>
      </c>
      <c r="AN12" s="447" t="e">
        <f>IF($L12&lt;=IF($B$2="mil",1,0.0254)*125,"Pass",IF($B$2="mil",1,0.0254)*125-$L12)</f>
        <v>#REF!</v>
      </c>
      <c r="AO12" s="447" t="e">
        <f ca="1">CheckLength(IF($B$2="mil",1,0.0254)*1250, IF($B$2="mil",1,0.0254)*125-L12, IF($B$2="mil",1,0.0254)*150-N12, M12,L12,N12)</f>
        <v>#NAME?</v>
      </c>
      <c r="AP12" s="447" t="e">
        <f ca="1">CheckLength2(IF($B$2="mil",1,0.0254)*1400,$M12,$N12,0)</f>
        <v>#NAME?</v>
      </c>
      <c r="AQ12" s="447" t="e">
        <f>IF(AND($P12&gt;=IF($B$2="mil",1,0.0254)*500, $P12&lt;=IF($B$2="mil",1,0.0254)*4000),"Pass",IF($B$2="mil",1,0.0254)*4000-$P12)</f>
        <v>#REF!</v>
      </c>
      <c r="AR12" s="447" t="e">
        <f ca="1">IF(AND($Q12&gt;=IF($B$2="mil",1,0.0254)*500, $Q12&lt;=IF($B$2="mil",1,0.0254)*4500),"Pass",IF($B$2="mil",1,0.0254)*4500-$Q12)</f>
        <v>#REF!</v>
      </c>
      <c r="AS12" s="447" t="e">
        <f>IF(AND($Y12&gt;=IF($B$2="mil",1,0.0254)*500, $Y12&lt;=IF($B$2="mil",1,0.0254)*5000),"Pass",IF($B$2="mil",1,0.0254)*5000-$Y12)</f>
        <v>#REF!</v>
      </c>
      <c r="AT12" s="447" t="e">
        <f ca="1">IF(AND($Z12&gt;=IF($B$2="mil",1,0.0254)*500, $Z12&lt;=IF($B$2="mil",1,0.0254)*6000),"Pass",IF($B$2="mil",1,0.0254)*6000-$Z12)</f>
        <v>#REF!</v>
      </c>
      <c r="AU12" s="18"/>
      <c r="AV12" s="2" t="e">
        <f ca="1">IF(AND(AI12="Pass",AR12="Pass",AK12="Pass",AJ12="Pass",AQ12="Pass",V12="Pass",W12="Pass",AO12="Pass",AP12="Pass",AN12="Pass",AM12="Pass",AL12="Pass",AG12="Pass",AH12="Pass",AS12="Pass",AT12="Pass",AD12="Pass",AE12="Pass"),"Pass","Fail")</f>
        <v>#REF!</v>
      </c>
    </row>
    <row r="13" spans="1:49" s="2" customFormat="1" x14ac:dyDescent="0.2">
      <c r="A13" s="578" t="e">
        <f ca="1">Assign1x8(#REF!,"Name_P")</f>
        <v>#NAME?</v>
      </c>
      <c r="B13" s="578" t="e">
        <f ca="1">Assign1x8(#REF!,"Ball_P")</f>
        <v>#NAME?</v>
      </c>
      <c r="C13" s="578" t="e">
        <f ca="1">Assign1x8(#REF!,"Len_P")</f>
        <v>#NAME?</v>
      </c>
      <c r="D13" s="16"/>
      <c r="E13" s="17">
        <v>29.7</v>
      </c>
      <c r="F13" s="17">
        <v>0</v>
      </c>
      <c r="G13" s="271">
        <v>2020.82</v>
      </c>
      <c r="H13" s="271">
        <v>81.5</v>
      </c>
      <c r="I13" s="17">
        <v>0</v>
      </c>
      <c r="J13" s="271">
        <v>61.64</v>
      </c>
      <c r="K13" s="17">
        <v>40</v>
      </c>
      <c r="L13" s="271">
        <v>120</v>
      </c>
      <c r="M13" s="271">
        <v>792.48</v>
      </c>
      <c r="N13" s="271">
        <v>340</v>
      </c>
      <c r="O13" s="58"/>
      <c r="P13" s="441">
        <f xml:space="preserve"> E13+F13+G13+H13</f>
        <v>2132.02</v>
      </c>
      <c r="Q13" s="441" t="e">
        <f ca="1">P13+IF($B$2="mil",1,0.0254)*C13</f>
        <v>#REF!</v>
      </c>
      <c r="R13" s="533"/>
      <c r="S13" s="441" t="e">
        <f>MAX(S$5:T$5)+IF($B$2="mil",1,0.0254)*DDR2Specs!$B$2</f>
        <v>#REF!</v>
      </c>
      <c r="T13" s="441" t="e">
        <f>MIN(S$5:T$5)+IF($B$2="mil",1,0.0254)*DDR2Specs!$C$2</f>
        <v>#REF!</v>
      </c>
      <c r="U13" s="533"/>
      <c r="V13" s="534" t="e">
        <f ca="1">IF($Q13&lt;$S13,$S13-$Q13,"Pass")</f>
        <v>#REF!</v>
      </c>
      <c r="W13" s="447" t="e">
        <f ca="1">IF($Q13&gt;$T13,$Q13-$T13,"Pass")</f>
        <v>#REF!</v>
      </c>
      <c r="X13" s="18"/>
      <c r="Y13" s="441">
        <f>SUM(E13:G13,I13:N13)</f>
        <v>3404.64</v>
      </c>
      <c r="Z13" s="441" t="e">
        <f ca="1">Y13+IF($B$2="mil",1,0.0254)*$C13</f>
        <v>#REF!</v>
      </c>
      <c r="AA13" s="441" t="e">
        <f>MAX(AA$10:AB$10)+IF($B$2="mil",1,0.0254)*DDR2Specs!$E$2</f>
        <v>#REF!</v>
      </c>
      <c r="AB13" s="441" t="e">
        <f>MIN(AA$10:AB$10)+IF($B$2="mil",1,0.0254)*DDR2Specs!$F$2</f>
        <v>#REF!</v>
      </c>
      <c r="AC13" s="18"/>
      <c r="AD13" s="534" t="e">
        <f ca="1">IF($Z13&lt;$AA13,$AA13-$Z13,"Pass")</f>
        <v>#REF!</v>
      </c>
      <c r="AE13" s="447" t="e">
        <f ca="1">IF($Z13&gt;$AB13,$Z13-$AB13,"Pass")</f>
        <v>#REF!</v>
      </c>
      <c r="AF13" s="18"/>
      <c r="AG13" s="447" t="e">
        <f ca="1">IF((ABS($Q13-$Q12)&lt;=IF($B$2="mil",1,0.0254)*5),"Pass",ABS($Q13-$Q12))</f>
        <v>#REF!</v>
      </c>
      <c r="AH13" s="447" t="e">
        <f ca="1">IF((ABS($Z13-$Z12)&lt;=IF($B$2="mil",1,0.0254)*5),"Pass",ABS($Z13-$Z12))</f>
        <v>#REF!</v>
      </c>
      <c r="AI13" s="447" t="e">
        <f>IF($E13&lt;=IF($B$2="mil",1,0.0254)*50,"Pass",IF($B$2="mil",1,0.0254)*50-$E13)</f>
        <v>#REF!</v>
      </c>
      <c r="AJ13" s="447" t="e">
        <f>IF($F13&lt;=IF($B$2="mil",1,0.0254)*500,"Pass",IF($B$2="mil",1,0.0254)*500-$F13)</f>
        <v>#REF!</v>
      </c>
      <c r="AK13" s="447" t="e">
        <f>IF($H13&lt;=IF($B$2="mil",1,0.0254)*250,"Pass",IF($B$2="mil",1,0.0254)*250-$H13)</f>
        <v>#REF!</v>
      </c>
      <c r="AL13" s="447" t="e">
        <f ca="1">CheckLength(IF($B$2="mil",1,0.0254)*1125, IF($B$2="mil",1,0.0254)*125-J13, 0, I13,J13,0)</f>
        <v>#NAME?</v>
      </c>
      <c r="AM13" s="447" t="e">
        <f>IF($J13&lt;=IF($B$2="mil",1,0.0254)*125,"Pass",IF($B$2="mil",1,0.0254)*125-$J13)</f>
        <v>#REF!</v>
      </c>
      <c r="AN13" s="447" t="e">
        <f>IF($L13&lt;=IF($B$2="mil",1,0.0254)*125,"Pass",IF($B$2="mil",1,0.0254)*125-$L13)</f>
        <v>#REF!</v>
      </c>
      <c r="AO13" s="447" t="e">
        <f ca="1">CheckLength(IF($B$2="mil",1,0.0254)*1250, IF($B$2="mil",1,0.0254)*125-L13, IF($B$2="mil",1,0.0254)*150-N13, M13,L13,N13)</f>
        <v>#NAME?</v>
      </c>
      <c r="AP13" s="447" t="e">
        <f ca="1">CheckLength2(IF($B$2="mil",1,0.0254)*1400,$M13,$N13,0)</f>
        <v>#NAME?</v>
      </c>
      <c r="AQ13" s="447" t="e">
        <f>IF(AND($P13&gt;=IF($B$2="mil",1,0.0254)*500, $P13&lt;=IF($B$2="mil",1,0.0254)*4000),"Pass",IF($B$2="mil",1,0.0254)*4000-$P13)</f>
        <v>#REF!</v>
      </c>
      <c r="AR13" s="447" t="e">
        <f ca="1">IF(AND($Q13&gt;=IF($B$2="mil",1,0.0254)*500, $Q13&lt;=IF($B$2="mil",1,0.0254)*4500),"Pass",IF($B$2="mil",1,0.0254)*4500-$Q13)</f>
        <v>#REF!</v>
      </c>
      <c r="AS13" s="447" t="e">
        <f>IF(AND($Y13&gt;=IF($B$2="mil",1,0.0254)*500, $Y13&lt;=IF($B$2="mil",1,0.0254)*5000),"Pass",IF($B$2="mil",1,0.0254)*5000-$Y13)</f>
        <v>#REF!</v>
      </c>
      <c r="AT13" s="447" t="e">
        <f ca="1">IF(AND($Z13&gt;=IF($B$2="mil",1,0.0254)*500, $Z13&lt;=IF($B$2="mil",1,0.0254)*6000),"Pass",IF($B$2="mil",1,0.0254)*6000-$Z13)</f>
        <v>#REF!</v>
      </c>
      <c r="AU13" s="18"/>
      <c r="AV13" s="2" t="e">
        <f ca="1">IF(AND(AI13="Pass",AR13="Pass",AK13="Pass",AJ13="Pass",AQ13="Pass",V13="Pass",W13="Pass",AO13="Pass",AP13="Pass",AN13="Pass",AM13="Pass",AL13="Pass",AG13="Pass",AH13="Pass",AS13="Pass",AT13="Pass",AD13="Pass",AE13="Pass"),"Pass","Fail")</f>
        <v>#REF!</v>
      </c>
    </row>
    <row r="14" spans="1:49" s="2" customFormat="1" x14ac:dyDescent="0.2">
      <c r="A14" s="6" t="s">
        <v>297</v>
      </c>
      <c r="B14" s="558"/>
      <c r="C14" s="559"/>
      <c r="D14" s="8"/>
      <c r="E14" s="258"/>
      <c r="F14" s="258"/>
      <c r="G14" s="258"/>
      <c r="H14" s="258"/>
      <c r="I14" s="258"/>
      <c r="J14" s="262"/>
      <c r="K14" s="8"/>
      <c r="L14" s="262"/>
      <c r="M14" s="262"/>
      <c r="N14" s="262"/>
      <c r="O14" s="8"/>
      <c r="P14" s="7"/>
      <c r="Q14" s="42"/>
      <c r="R14" s="8"/>
      <c r="S14" s="8"/>
      <c r="T14" s="8"/>
      <c r="U14" s="8"/>
      <c r="V14" s="8"/>
      <c r="W14" s="8"/>
      <c r="X14" s="8"/>
      <c r="Y14" s="7"/>
      <c r="Z14" s="42"/>
      <c r="AA14" s="8"/>
      <c r="AB14" s="13"/>
      <c r="AC14" s="8"/>
      <c r="AD14" s="13"/>
      <c r="AE14" s="13"/>
      <c r="AF14" s="8"/>
      <c r="AG14" s="13"/>
      <c r="AH14" s="13"/>
      <c r="AI14" s="13"/>
      <c r="AJ14" s="13"/>
      <c r="AK14" s="13"/>
      <c r="AL14" s="8"/>
      <c r="AM14" s="8"/>
      <c r="AN14" s="8"/>
      <c r="AO14" s="8"/>
      <c r="AP14" s="8"/>
      <c r="AQ14" s="8"/>
      <c r="AR14" s="8"/>
      <c r="AS14" s="8"/>
      <c r="AT14" s="8"/>
      <c r="AU14" s="10"/>
    </row>
    <row r="15" spans="1:49" s="2" customFormat="1" x14ac:dyDescent="0.2">
      <c r="A15" s="579" t="s">
        <v>72</v>
      </c>
      <c r="B15" s="580"/>
      <c r="C15" s="574"/>
      <c r="D15" s="44"/>
      <c r="E15" s="259"/>
      <c r="F15" s="259"/>
      <c r="G15" s="259"/>
      <c r="H15" s="259"/>
      <c r="I15" s="259"/>
      <c r="J15" s="263"/>
      <c r="K15" s="43"/>
      <c r="L15" s="263"/>
      <c r="M15" s="263"/>
      <c r="N15" s="263"/>
      <c r="O15" s="43"/>
      <c r="P15" s="67"/>
      <c r="Q15" s="54"/>
      <c r="R15" s="485"/>
      <c r="S15" s="145"/>
      <c r="T15" s="486"/>
      <c r="U15" s="44"/>
      <c r="V15" s="54"/>
      <c r="W15" s="54"/>
      <c r="X15" s="485"/>
      <c r="Y15" s="67"/>
      <c r="Z15" s="485" t="s">
        <v>275</v>
      </c>
      <c r="AA15" s="487" t="e">
        <f>MIN('DDR2 Clocks - 4L'!$O$9:$O$10)</f>
        <v>#REF!</v>
      </c>
      <c r="AB15" s="486" t="e">
        <f>MAX('DDR2 Clocks - 4L'!$O$9:$O$10)</f>
        <v>#REF!</v>
      </c>
      <c r="AC15" s="54"/>
      <c r="AD15" s="54"/>
      <c r="AE15" s="54"/>
      <c r="AF15" s="485"/>
      <c r="AG15" s="54"/>
      <c r="AH15" s="54"/>
      <c r="AI15" s="54"/>
      <c r="AJ15" s="43"/>
      <c r="AK15" s="43"/>
      <c r="AL15" s="43"/>
      <c r="AM15" s="43"/>
      <c r="AN15" s="43"/>
      <c r="AO15" s="43"/>
      <c r="AP15" s="43"/>
      <c r="AQ15" s="43"/>
      <c r="AR15" s="43"/>
      <c r="AS15" s="43"/>
      <c r="AT15" s="43"/>
      <c r="AU15" s="48"/>
    </row>
    <row r="16" spans="1:49" s="2" customFormat="1" x14ac:dyDescent="0.2">
      <c r="A16" s="6" t="s">
        <v>298</v>
      </c>
      <c r="B16" s="581"/>
      <c r="C16" s="575"/>
      <c r="D16" s="51"/>
      <c r="E16" s="260"/>
      <c r="F16" s="260"/>
      <c r="G16" s="260"/>
      <c r="H16" s="260"/>
      <c r="I16" s="260"/>
      <c r="J16" s="264"/>
      <c r="K16" s="45"/>
      <c r="L16" s="264"/>
      <c r="M16" s="264"/>
      <c r="N16" s="264"/>
      <c r="O16" s="45"/>
      <c r="P16" s="45"/>
      <c r="Q16" s="45"/>
      <c r="R16" s="45"/>
      <c r="S16" s="45"/>
      <c r="T16" s="55"/>
      <c r="U16" s="45"/>
      <c r="V16" s="55"/>
      <c r="W16" s="55"/>
      <c r="X16" s="55"/>
      <c r="Y16" s="45"/>
      <c r="Z16" s="45"/>
      <c r="AA16" s="55"/>
      <c r="AB16" s="56"/>
      <c r="AC16" s="55"/>
      <c r="AD16" s="45"/>
      <c r="AE16" s="45"/>
      <c r="AF16" s="55"/>
      <c r="AG16" s="45"/>
      <c r="AH16" s="45"/>
      <c r="AI16" s="45"/>
      <c r="AJ16" s="55"/>
      <c r="AK16" s="55"/>
      <c r="AL16" s="55"/>
      <c r="AM16" s="55"/>
      <c r="AN16" s="55"/>
      <c r="AO16" s="55"/>
      <c r="AP16" s="55"/>
      <c r="AQ16" s="55"/>
      <c r="AR16" s="55"/>
      <c r="AS16" s="55"/>
      <c r="AT16" s="55"/>
      <c r="AU16" s="57"/>
    </row>
    <row r="17" spans="1:48" s="2" customFormat="1" x14ac:dyDescent="0.2">
      <c r="A17" s="578" t="e">
        <f ca="1">Assign1x8(#REF!,"Name")</f>
        <v>#NAME?</v>
      </c>
      <c r="B17" s="578" t="e">
        <f ca="1">Assign1x8(#REF!,"Ball")</f>
        <v>#NAME?</v>
      </c>
      <c r="C17" s="578" t="e">
        <f ca="1">Assign1x8(#REF!,"Len")</f>
        <v>#NAME?</v>
      </c>
      <c r="D17" s="16"/>
      <c r="E17" s="17">
        <v>29.7</v>
      </c>
      <c r="F17" s="17">
        <v>0</v>
      </c>
      <c r="G17" s="271">
        <v>2022.95</v>
      </c>
      <c r="H17" s="271">
        <v>73.19</v>
      </c>
      <c r="I17" s="17">
        <v>0</v>
      </c>
      <c r="J17" s="271">
        <v>57.5</v>
      </c>
      <c r="K17" s="17">
        <v>40</v>
      </c>
      <c r="L17" s="271">
        <v>77.83</v>
      </c>
      <c r="M17" s="271">
        <v>699.76</v>
      </c>
      <c r="N17" s="271">
        <v>350</v>
      </c>
      <c r="O17" s="58"/>
      <c r="P17" s="441">
        <f xml:space="preserve"> E17+F17+G17+H17</f>
        <v>2125.84</v>
      </c>
      <c r="Q17" s="441" t="e">
        <f ca="1">P17+IF($B$2="mil",1,0.0254)*C17</f>
        <v>#REF!</v>
      </c>
      <c r="R17" s="533"/>
      <c r="S17" s="441" t="e">
        <f>MAX(S$5:T$5)+IF($B$2="mil",1,0.0254)*DDR2Specs!$B$2</f>
        <v>#REF!</v>
      </c>
      <c r="T17" s="441" t="e">
        <f>MIN(S$5:T$5)+IF($B$2="mil",1,0.0254)*DDR2Specs!$C$2</f>
        <v>#REF!</v>
      </c>
      <c r="U17" s="533"/>
      <c r="V17" s="534" t="e">
        <f ca="1">IF($Q17&lt;$S17,$S17-$Q17,"Pass")</f>
        <v>#REF!</v>
      </c>
      <c r="W17" s="447" t="e">
        <f ca="1">IF($Q17&gt;$T17,$Q17-$T17,"Pass")</f>
        <v>#REF!</v>
      </c>
      <c r="X17" s="18"/>
      <c r="Y17" s="441">
        <f>SUM(E17:G17,I17:N17)</f>
        <v>3277.74</v>
      </c>
      <c r="Z17" s="441" t="e">
        <f ca="1">Y17+IF($B$2="mil",1,0.0254)*$C17</f>
        <v>#REF!</v>
      </c>
      <c r="AA17" s="441" t="e">
        <f>MAX(AA$15:AB$15)+IF($B$2="mil",1,0.0254)*DDR2Specs!$E$2</f>
        <v>#REF!</v>
      </c>
      <c r="AB17" s="441" t="e">
        <f>MIN(AA$15:AB$15)+IF($B$2="mil",1,0.0254)*DDR2Specs!$F$2</f>
        <v>#REF!</v>
      </c>
      <c r="AC17" s="18"/>
      <c r="AD17" s="534" t="e">
        <f ca="1">IF($Z17&lt;$AA17,$AA17-$Z17,"Pass")</f>
        <v>#REF!</v>
      </c>
      <c r="AE17" s="447" t="e">
        <f ca="1">IF($Z17&gt;$AB17,$Z17-$AB17,"Pass")</f>
        <v>#REF!</v>
      </c>
      <c r="AF17" s="18"/>
      <c r="AG17" s="447" t="e">
        <f ca="1">IF((ABS($Q17-$Q18)&lt;=IF($B$2="mil",1,0.0254)*5),"Pass",ABS($Q17-$Q18))</f>
        <v>#REF!</v>
      </c>
      <c r="AH17" s="447" t="e">
        <f ca="1">IF((ABS($Z17-$Z18)&lt;=IF($B$2="mil",1,0.0254)*5),"Pass",ABS($Z17-$Z18))</f>
        <v>#REF!</v>
      </c>
      <c r="AI17" s="447" t="e">
        <f>IF($E17&lt;=IF($B$2="mil",1,0.0254)*50,"Pass",IF($B$2="mil",1,0.0254)*50-$E17)</f>
        <v>#REF!</v>
      </c>
      <c r="AJ17" s="447" t="e">
        <f>IF($F17&lt;=IF($B$2="mil",1,0.0254)*500,"Pass",IF($B$2="mil",1,0.0254)*500-$F17)</f>
        <v>#REF!</v>
      </c>
      <c r="AK17" s="447" t="e">
        <f>IF($H17&lt;=IF($B$2="mil",1,0.0254)*250,"Pass",IF($B$2="mil",1,0.0254)*250-$H17)</f>
        <v>#REF!</v>
      </c>
      <c r="AL17" s="447" t="e">
        <f ca="1">CheckLength(IF($B$2="mil",1,0.0254)*1125, IF($B$2="mil",1,0.0254)*125-J17, 0, I17,J17,0)</f>
        <v>#NAME?</v>
      </c>
      <c r="AM17" s="447" t="e">
        <f>IF($J17&lt;=IF($B$2="mil",1,0.0254)*125,"Pass",IF($B$2="mil",1,0.0254)*125-$J17)</f>
        <v>#REF!</v>
      </c>
      <c r="AN17" s="447" t="e">
        <f>IF($L17&lt;=IF($B$2="mil",1,0.0254)*125,"Pass",IF($B$2="mil",1,0.0254)*125-$L17)</f>
        <v>#REF!</v>
      </c>
      <c r="AO17" s="447" t="e">
        <f ca="1">CheckLength(IF($B$2="mil",1,0.0254)*1250, IF($B$2="mil",1,0.0254)*125-L17, IF($B$2="mil",1,0.0254)*150-N17, M17,L17,N17)</f>
        <v>#NAME?</v>
      </c>
      <c r="AP17" s="447" t="e">
        <f ca="1">CheckLength2(IF($B$2="mil",1,0.0254)*1400,$M17,$N17,0)</f>
        <v>#NAME?</v>
      </c>
      <c r="AQ17" s="447" t="e">
        <f>IF(AND($P17&gt;=IF($B$2="mil",1,0.0254)*500, $P17&lt;=IF($B$2="mil",1,0.0254)*4000),"Pass",IF($B$2="mil",1,0.0254)*4000-$P17)</f>
        <v>#REF!</v>
      </c>
      <c r="AR17" s="447" t="e">
        <f ca="1">IF(AND($Q17&gt;=IF($B$2="mil",1,0.0254)*500, $Q17&lt;=IF($B$2="mil",1,0.0254)*4500),"Pass",IF($B$2="mil",1,0.0254)*4500-$Q17)</f>
        <v>#REF!</v>
      </c>
      <c r="AS17" s="447" t="e">
        <f>IF(AND($Y17&gt;=IF($B$2="mil",1,0.0254)*500, $Y17&lt;=IF($B$2="mil",1,0.0254)*5000),"Pass",IF($B$2="mil",1,0.0254)*5000-$Y17)</f>
        <v>#REF!</v>
      </c>
      <c r="AT17" s="447" t="e">
        <f ca="1">IF(AND($Z17&gt;=IF($B$2="mil",1,0.0254)*500, $Z17&lt;=IF($B$2="mil",1,0.0254)*6000),"Pass",IF($B$2="mil",1,0.0254)*6000-$Z17)</f>
        <v>#REF!</v>
      </c>
      <c r="AU17" s="18"/>
      <c r="AV17" s="2" t="e">
        <f ca="1">IF(AND(AI17="Pass",AR17="Pass",AK17="Pass",AJ17="Pass",AQ17="Pass",V17="Pass",W17="Pass",AO17="Pass",AP17="Pass",AN17="Pass",AM17="Pass",AL17="Pass",AG17="Pass",AH17="Pass",AS17="Pass",AT17="Pass",AD17="Pass",AE17="Pass"),"Pass","Fail")</f>
        <v>#REF!</v>
      </c>
    </row>
    <row r="18" spans="1:48" s="2" customFormat="1" x14ac:dyDescent="0.2">
      <c r="A18" s="578" t="e">
        <f ca="1">Assign1x8(#REF!,"Name_P")</f>
        <v>#NAME?</v>
      </c>
      <c r="B18" s="578" t="e">
        <f ca="1">Assign1x8(#REF!,"Ball_P")</f>
        <v>#NAME?</v>
      </c>
      <c r="C18" s="578" t="e">
        <f ca="1">Assign1x8(#REF!,"Len_P")</f>
        <v>#NAME?</v>
      </c>
      <c r="D18" s="16"/>
      <c r="E18" s="17">
        <v>29.7</v>
      </c>
      <c r="F18" s="17">
        <v>0</v>
      </c>
      <c r="G18" s="271">
        <v>2020.82</v>
      </c>
      <c r="H18" s="271">
        <v>71.53</v>
      </c>
      <c r="I18" s="17">
        <v>0</v>
      </c>
      <c r="J18" s="271">
        <v>61.64</v>
      </c>
      <c r="K18" s="17">
        <v>40</v>
      </c>
      <c r="L18" s="271">
        <v>74.17</v>
      </c>
      <c r="M18" s="271">
        <v>697.27</v>
      </c>
      <c r="N18" s="271">
        <v>350</v>
      </c>
      <c r="O18" s="58"/>
      <c r="P18" s="441">
        <f xml:space="preserve"> E18+F18+G18+H18</f>
        <v>2122.0500000000002</v>
      </c>
      <c r="Q18" s="441" t="e">
        <f ca="1">P18+IF($B$2="mil",1,0.0254)*C18</f>
        <v>#REF!</v>
      </c>
      <c r="R18" s="533"/>
      <c r="S18" s="441" t="e">
        <f>MAX(S$5:T$5)+IF($B$2="mil",1,0.0254)*DDR2Specs!$B$2</f>
        <v>#REF!</v>
      </c>
      <c r="T18" s="441" t="e">
        <f>MIN(S$5:T$5)+IF($B$2="mil",1,0.0254)*DDR2Specs!$C$2</f>
        <v>#REF!</v>
      </c>
      <c r="U18" s="533"/>
      <c r="V18" s="534" t="e">
        <f ca="1">IF($Q18&lt;$S18,$S18-$Q18,"Pass")</f>
        <v>#REF!</v>
      </c>
      <c r="W18" s="447" t="e">
        <f ca="1">IF($Q18&gt;$T18,$Q18-$T18,"Pass")</f>
        <v>#REF!</v>
      </c>
      <c r="X18" s="18"/>
      <c r="Y18" s="441">
        <f>SUM(E18:G18,I18:N18)</f>
        <v>3273.6</v>
      </c>
      <c r="Z18" s="441" t="e">
        <f ca="1">Y18+IF($B$2="mil",1,0.0254)*$C18</f>
        <v>#REF!</v>
      </c>
      <c r="AA18" s="441" t="e">
        <f>MAX(AA$15:AB$15)+IF($B$2="mil",1,0.0254)*DDR2Specs!$E$2</f>
        <v>#REF!</v>
      </c>
      <c r="AB18" s="441" t="e">
        <f>MIN(AA$15:AB$15)+IF($B$2="mil",1,0.0254)*DDR2Specs!$F$2</f>
        <v>#REF!</v>
      </c>
      <c r="AC18" s="18"/>
      <c r="AD18" s="534" t="e">
        <f ca="1">IF($Z18&lt;$AA18,$AA18-$Z18,"Pass")</f>
        <v>#REF!</v>
      </c>
      <c r="AE18" s="447" t="e">
        <f ca="1">IF($Z18&gt;$AB18,$Z18-$AB18,"Pass")</f>
        <v>#REF!</v>
      </c>
      <c r="AF18" s="18"/>
      <c r="AG18" s="447" t="e">
        <f ca="1">IF((ABS($Q18-$Q17)&lt;=IF($B$2="mil",1,0.0254)*5),"Pass",ABS($Q18-$Q17))</f>
        <v>#REF!</v>
      </c>
      <c r="AH18" s="447" t="e">
        <f ca="1">IF((ABS($Z18-$Z17)&lt;=IF($B$2="mil",1,0.0254)*5),"Pass",ABS($Z18-$Z17))</f>
        <v>#REF!</v>
      </c>
      <c r="AI18" s="447" t="e">
        <f>IF($E18&lt;=IF($B$2="mil",1,0.0254)*50,"Pass",IF($B$2="mil",1,0.0254)*50-$E18)</f>
        <v>#REF!</v>
      </c>
      <c r="AJ18" s="447" t="e">
        <f>IF($F18&lt;=IF($B$2="mil",1,0.0254)*500,"Pass",IF($B$2="mil",1,0.0254)*500-$F18)</f>
        <v>#REF!</v>
      </c>
      <c r="AK18" s="447" t="e">
        <f>IF($H18&lt;=IF($B$2="mil",1,0.0254)*250,"Pass",IF($B$2="mil",1,0.0254)*250-$H18)</f>
        <v>#REF!</v>
      </c>
      <c r="AL18" s="447" t="e">
        <f ca="1">CheckLength(IF($B$2="mil",1,0.0254)*1125, IF($B$2="mil",1,0.0254)*125-J18, 0, I18,J18,0)</f>
        <v>#NAME?</v>
      </c>
      <c r="AM18" s="447" t="e">
        <f>IF($J18&lt;=IF($B$2="mil",1,0.0254)*125,"Pass",IF($B$2="mil",1,0.0254)*125-$J18)</f>
        <v>#REF!</v>
      </c>
      <c r="AN18" s="447" t="e">
        <f>IF($L18&lt;=IF($B$2="mil",1,0.0254)*125,"Pass",IF($B$2="mil",1,0.0254)*125-$L18)</f>
        <v>#REF!</v>
      </c>
      <c r="AO18" s="447" t="e">
        <f ca="1">CheckLength(IF($B$2="mil",1,0.0254)*1250, IF($B$2="mil",1,0.0254)*125-L18, IF($B$2="mil",1,0.0254)*150-N18, M18,L18,N18)</f>
        <v>#NAME?</v>
      </c>
      <c r="AP18" s="447" t="e">
        <f ca="1">CheckLength2(IF($B$2="mil",1,0.0254)*1400,$M18,$N18,0)</f>
        <v>#NAME?</v>
      </c>
      <c r="AQ18" s="447" t="e">
        <f>IF(AND($P18&gt;=IF($B$2="mil",1,0.0254)*500, $P18&lt;=IF($B$2="mil",1,0.0254)*4000),"Pass",IF($B$2="mil",1,0.0254)*4000-$P18)</f>
        <v>#REF!</v>
      </c>
      <c r="AR18" s="447" t="e">
        <f ca="1">IF(AND($Q18&gt;=IF($B$2="mil",1,0.0254)*500, $Q18&lt;=IF($B$2="mil",1,0.0254)*4500),"Pass",IF($B$2="mil",1,0.0254)*4500-$Q18)</f>
        <v>#REF!</v>
      </c>
      <c r="AS18" s="447" t="e">
        <f>IF(AND($Y18&gt;=IF($B$2="mil",1,0.0254)*500, $Y18&lt;=IF($B$2="mil",1,0.0254)*5000),"Pass",IF($B$2="mil",1,0.0254)*5000-$Y18)</f>
        <v>#REF!</v>
      </c>
      <c r="AT18" s="447" t="e">
        <f ca="1">IF(AND($Z18&gt;=IF($B$2="mil",1,0.0254)*500, $Z18&lt;=IF($B$2="mil",1,0.0254)*6000),"Pass",IF($B$2="mil",1,0.0254)*6000-$Z18)</f>
        <v>#REF!</v>
      </c>
      <c r="AU18" s="18"/>
      <c r="AV18" s="2" t="e">
        <f ca="1">IF(AND(AI18="Pass",AR18="Pass",AK18="Pass",AJ18="Pass",AQ18="Pass",V18="Pass",W18="Pass",AO18="Pass",AP18="Pass",AN18="Pass",AM18="Pass",AL18="Pass",AG18="Pass",AH18="Pass",AS18="Pass",AT18="Pass",AD18="Pass",AE18="Pass"),"Pass","Fail")</f>
        <v>#REF!</v>
      </c>
    </row>
    <row r="19" spans="1:48" s="2" customFormat="1" x14ac:dyDescent="0.2">
      <c r="A19" s="6" t="s">
        <v>297</v>
      </c>
      <c r="B19" s="558"/>
      <c r="C19" s="559"/>
      <c r="D19" s="8"/>
      <c r="E19" s="258"/>
      <c r="F19" s="258"/>
      <c r="G19" s="258"/>
      <c r="H19" s="258"/>
      <c r="I19" s="258"/>
      <c r="J19" s="262"/>
      <c r="K19" s="8"/>
      <c r="L19" s="262"/>
      <c r="M19" s="262"/>
      <c r="N19" s="262"/>
      <c r="O19" s="8"/>
      <c r="P19" s="7"/>
      <c r="Q19" s="42"/>
      <c r="R19" s="8"/>
      <c r="S19" s="8"/>
      <c r="T19" s="8"/>
      <c r="U19" s="8"/>
      <c r="V19" s="8"/>
      <c r="W19" s="8"/>
      <c r="X19" s="8"/>
      <c r="Y19" s="7"/>
      <c r="Z19" s="42"/>
      <c r="AA19" s="8"/>
      <c r="AB19" s="13"/>
      <c r="AC19" s="8"/>
      <c r="AD19" s="13"/>
      <c r="AE19" s="13"/>
      <c r="AF19" s="8"/>
      <c r="AG19" s="13"/>
      <c r="AH19" s="13"/>
      <c r="AI19" s="13"/>
      <c r="AJ19" s="13"/>
      <c r="AK19" s="13"/>
      <c r="AL19" s="8"/>
      <c r="AM19" s="8"/>
      <c r="AN19" s="8"/>
      <c r="AO19" s="8"/>
      <c r="AP19" s="8"/>
      <c r="AQ19" s="8"/>
      <c r="AR19" s="8"/>
      <c r="AS19" s="8"/>
      <c r="AT19" s="8"/>
      <c r="AU19" s="10"/>
    </row>
    <row r="20" spans="1:48" s="2" customFormat="1" x14ac:dyDescent="0.2">
      <c r="A20" s="579" t="s">
        <v>72</v>
      </c>
      <c r="B20" s="580"/>
      <c r="C20" s="574"/>
      <c r="D20" s="44"/>
      <c r="E20" s="259"/>
      <c r="F20" s="259"/>
      <c r="G20" s="259"/>
      <c r="H20" s="259"/>
      <c r="I20" s="259"/>
      <c r="J20" s="263"/>
      <c r="K20" s="43"/>
      <c r="L20" s="263"/>
      <c r="M20" s="263"/>
      <c r="N20" s="263"/>
      <c r="O20" s="43"/>
      <c r="P20" s="67"/>
      <c r="Q20" s="54"/>
      <c r="R20" s="485"/>
      <c r="S20" s="145"/>
      <c r="T20" s="486"/>
      <c r="U20" s="44"/>
      <c r="V20" s="54"/>
      <c r="W20" s="54"/>
      <c r="X20" s="485"/>
      <c r="Y20" s="67"/>
      <c r="Z20" s="485" t="s">
        <v>333</v>
      </c>
      <c r="AA20" s="487" t="e">
        <f>MIN('DDR2 Clocks - 4L'!$O$11:$O$12)</f>
        <v>#REF!</v>
      </c>
      <c r="AB20" s="486" t="e">
        <f>MAX('DDR2 Clocks - 4L'!$O$11:$O$12)</f>
        <v>#REF!</v>
      </c>
      <c r="AC20" s="54"/>
      <c r="AD20" s="54"/>
      <c r="AE20" s="54"/>
      <c r="AF20" s="485"/>
      <c r="AG20" s="54"/>
      <c r="AH20" s="54"/>
      <c r="AI20" s="54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8"/>
    </row>
    <row r="21" spans="1:48" s="2" customFormat="1" x14ac:dyDescent="0.2">
      <c r="A21" s="6" t="s">
        <v>298</v>
      </c>
      <c r="B21" s="581"/>
      <c r="C21" s="575"/>
      <c r="D21" s="51"/>
      <c r="E21" s="260"/>
      <c r="F21" s="260"/>
      <c r="G21" s="260"/>
      <c r="H21" s="260"/>
      <c r="I21" s="260"/>
      <c r="J21" s="264"/>
      <c r="K21" s="45"/>
      <c r="L21" s="264"/>
      <c r="M21" s="264"/>
      <c r="N21" s="264"/>
      <c r="O21" s="45"/>
      <c r="P21" s="45"/>
      <c r="Q21" s="45"/>
      <c r="R21" s="45"/>
      <c r="S21" s="45"/>
      <c r="T21" s="55"/>
      <c r="U21" s="45"/>
      <c r="V21" s="55"/>
      <c r="W21" s="55"/>
      <c r="X21" s="55"/>
      <c r="Y21" s="45"/>
      <c r="Z21" s="45"/>
      <c r="AA21" s="55"/>
      <c r="AB21" s="56"/>
      <c r="AC21" s="55"/>
      <c r="AD21" s="45"/>
      <c r="AE21" s="45"/>
      <c r="AF21" s="55"/>
      <c r="AG21" s="45"/>
      <c r="AH21" s="45"/>
      <c r="AI21" s="4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7"/>
    </row>
    <row r="22" spans="1:48" s="2" customFormat="1" x14ac:dyDescent="0.2">
      <c r="A22" s="578" t="e">
        <f ca="1">Assign1x8(#REF!,"Name")</f>
        <v>#NAME?</v>
      </c>
      <c r="B22" s="578" t="e">
        <f ca="1">Assign1x8(#REF!,"Ball")</f>
        <v>#NAME?</v>
      </c>
      <c r="C22" s="578" t="e">
        <f ca="1">Assign1x8(#REF!,"Len")</f>
        <v>#NAME?</v>
      </c>
      <c r="D22" s="16"/>
      <c r="E22" s="17">
        <v>29.7</v>
      </c>
      <c r="F22" s="17">
        <v>0</v>
      </c>
      <c r="G22" s="271">
        <v>2107.41</v>
      </c>
      <c r="H22" s="271">
        <v>73.19</v>
      </c>
      <c r="I22" s="17">
        <v>0</v>
      </c>
      <c r="J22" s="271">
        <v>83.71</v>
      </c>
      <c r="K22" s="17">
        <v>40</v>
      </c>
      <c r="L22" s="271">
        <v>93</v>
      </c>
      <c r="M22" s="271">
        <v>696.57</v>
      </c>
      <c r="N22" s="271">
        <v>350</v>
      </c>
      <c r="O22" s="58"/>
      <c r="P22" s="441">
        <f xml:space="preserve"> E22+F22+G22+H22</f>
        <v>2210.2999999999997</v>
      </c>
      <c r="Q22" s="441" t="e">
        <f ca="1">P22+IF($B$2="mil",1,0.0254)*C22</f>
        <v>#REF!</v>
      </c>
      <c r="R22" s="533"/>
      <c r="S22" s="441" t="e">
        <f>MAX(S$5:T$5)+IF($B$2="mil",1,0.0254)*DDR2Specs!$B$2</f>
        <v>#REF!</v>
      </c>
      <c r="T22" s="441" t="e">
        <f>MIN(S$5:T$5)+IF($B$2="mil",1,0.0254)*DDR2Specs!$C$2</f>
        <v>#REF!</v>
      </c>
      <c r="U22" s="533"/>
      <c r="V22" s="534" t="e">
        <f ca="1">IF($Q22&lt;$S22,$S22-$Q22,"Pass")</f>
        <v>#REF!</v>
      </c>
      <c r="W22" s="447" t="e">
        <f ca="1">IF($Q22&gt;$T22,$Q22-$T22,"Pass")</f>
        <v>#REF!</v>
      </c>
      <c r="X22" s="18"/>
      <c r="Y22" s="441">
        <f>SUM(E22:G22,I22:N22)</f>
        <v>3400.39</v>
      </c>
      <c r="Z22" s="441" t="e">
        <f ca="1">Y22+IF($B$2="mil",1,0.0254)*$C22</f>
        <v>#REF!</v>
      </c>
      <c r="AA22" s="441" t="e">
        <f>MAX(AA$20:AB$20)+IF($B$2="mil",1,0.0254)*DDR2Specs!$E$2</f>
        <v>#REF!</v>
      </c>
      <c r="AB22" s="441" t="e">
        <f>MIN(AA$20:AB$20)+IF($B$2="mil",1,0.0254)*DDR2Specs!$F$2</f>
        <v>#REF!</v>
      </c>
      <c r="AC22" s="18"/>
      <c r="AD22" s="534" t="e">
        <f ca="1">IF($Z22&lt;$AA22,$AA22-$Z22,"Pass")</f>
        <v>#REF!</v>
      </c>
      <c r="AE22" s="447" t="e">
        <f ca="1">IF($Z22&gt;$AB22,$Z22-$AB22,"Pass")</f>
        <v>#REF!</v>
      </c>
      <c r="AF22" s="18"/>
      <c r="AG22" s="447" t="e">
        <f ca="1">IF((ABS($Q22-$Q23)&lt;=IF($B$2="mil",1,0.0254)*5),"Pass",ABS($Q22-$Q23))</f>
        <v>#REF!</v>
      </c>
      <c r="AH22" s="447" t="e">
        <f ca="1">IF((ABS($Z22-$Z23)&lt;=IF($B$2="mil",1,0.0254)*5),"Pass",ABS($Z22-$Z23))</f>
        <v>#REF!</v>
      </c>
      <c r="AI22" s="447" t="e">
        <f>IF($E22&lt;=IF($B$2="mil",1,0.0254)*50,"Pass",IF($B$2="mil",1,0.0254)*50-$E22)</f>
        <v>#REF!</v>
      </c>
      <c r="AJ22" s="447" t="e">
        <f>IF($F22&lt;=IF($B$2="mil",1,0.0254)*500,"Pass",IF($B$2="mil",1,0.0254)*500-$F22)</f>
        <v>#REF!</v>
      </c>
      <c r="AK22" s="447" t="e">
        <f>IF($H22&lt;=IF($B$2="mil",1,0.0254)*250,"Pass",IF($B$2="mil",1,0.0254)*250-$H22)</f>
        <v>#REF!</v>
      </c>
      <c r="AL22" s="447" t="e">
        <f ca="1">CheckLength(IF($B$2="mil",1,0.0254)*1125, IF($B$2="mil",1,0.0254)*125-J22, 0, I22,J22,0)</f>
        <v>#NAME?</v>
      </c>
      <c r="AM22" s="447" t="e">
        <f>IF($J22&lt;=IF($B$2="mil",1,0.0254)*125,"Pass",IF($B$2="mil",1,0.0254)*125-$J22)</f>
        <v>#REF!</v>
      </c>
      <c r="AN22" s="447" t="e">
        <f>IF($L22&lt;=IF($B$2="mil",1,0.0254)*125,"Pass",IF($B$2="mil",1,0.0254)*125-$L22)</f>
        <v>#REF!</v>
      </c>
      <c r="AO22" s="447" t="e">
        <f ca="1">CheckLength(IF($B$2="mil",1,0.0254)*1250, IF($B$2="mil",1,0.0254)*125-L22, IF($B$2="mil",1,0.0254)*150-N22, M22,L22,N22)</f>
        <v>#NAME?</v>
      </c>
      <c r="AP22" s="447" t="e">
        <f ca="1">CheckLength2(IF($B$2="mil",1,0.0254)*1400,$M22,$N22,0)</f>
        <v>#NAME?</v>
      </c>
      <c r="AQ22" s="447" t="e">
        <f>IF(AND($P22&gt;=IF($B$2="mil",1,0.0254)*500, $P22&lt;=IF($B$2="mil",1,0.0254)*4000),"Pass",IF($B$2="mil",1,0.0254)*4000-$P22)</f>
        <v>#REF!</v>
      </c>
      <c r="AR22" s="447" t="e">
        <f ca="1">IF(AND($Q22&gt;=IF($B$2="mil",1,0.0254)*500, $Q22&lt;=IF($B$2="mil",1,0.0254)*4500),"Pass",IF($B$2="mil",1,0.0254)*4500-$Q22)</f>
        <v>#REF!</v>
      </c>
      <c r="AS22" s="447" t="e">
        <f>IF(AND($Y22&gt;=IF($B$2="mil",1,0.0254)*500, $Y22&lt;=IF($B$2="mil",1,0.0254)*5000),"Pass",IF($B$2="mil",1,0.0254)*5000-$Y22)</f>
        <v>#REF!</v>
      </c>
      <c r="AT22" s="447" t="e">
        <f ca="1">IF(AND($Z22&gt;=IF($B$2="mil",1,0.0254)*500, $Z22&lt;=IF($B$2="mil",1,0.0254)*6000),"Pass",IF($B$2="mil",1,0.0254)*6000-$Z22)</f>
        <v>#REF!</v>
      </c>
      <c r="AU22" s="18"/>
      <c r="AV22" s="2" t="e">
        <f ca="1">IF(AND(AI22="Pass",AR22="Pass",AK22="Pass",AJ22="Pass",AQ22="Pass",V22="Pass",W22="Pass",AO22="Pass",AP22="Pass",AN22="Pass",AM22="Pass",AL22="Pass",AG22="Pass",AH22="Pass",AS22="Pass",AT22="Pass",AD22="Pass",AE22="Pass"),"Pass","Fail")</f>
        <v>#REF!</v>
      </c>
    </row>
    <row r="23" spans="1:48" s="2" customFormat="1" x14ac:dyDescent="0.2">
      <c r="A23" s="578" t="e">
        <f ca="1">Assign1x8(#REF!,"Name_P")</f>
        <v>#NAME?</v>
      </c>
      <c r="B23" s="578" t="e">
        <f ca="1">Assign1x8(#REF!,"Ball_P")</f>
        <v>#NAME?</v>
      </c>
      <c r="C23" s="578" t="e">
        <f ca="1">Assign1x8(#REF!,"Len_P")</f>
        <v>#NAME?</v>
      </c>
      <c r="D23" s="16"/>
      <c r="E23" s="17">
        <v>29.7</v>
      </c>
      <c r="F23" s="17">
        <v>0</v>
      </c>
      <c r="G23" s="271">
        <v>2111.3000000000002</v>
      </c>
      <c r="H23" s="271">
        <v>71.53</v>
      </c>
      <c r="I23" s="17">
        <v>0</v>
      </c>
      <c r="J23" s="271">
        <v>80.64</v>
      </c>
      <c r="K23" s="17">
        <v>40</v>
      </c>
      <c r="L23" s="271">
        <v>101.44</v>
      </c>
      <c r="M23" s="271">
        <v>685.9</v>
      </c>
      <c r="N23" s="271">
        <v>350</v>
      </c>
      <c r="O23" s="58"/>
      <c r="P23" s="441">
        <f xml:space="preserve"> E23+F23+G23+H23</f>
        <v>2212.5300000000002</v>
      </c>
      <c r="Q23" s="441" t="e">
        <f ca="1">P23+IF($B$2="mil",1,0.0254)*C23</f>
        <v>#REF!</v>
      </c>
      <c r="R23" s="533"/>
      <c r="S23" s="441" t="e">
        <f>MAX(S$5:T$5)+IF($B$2="mil",1,0.0254)*DDR2Specs!$B$2</f>
        <v>#REF!</v>
      </c>
      <c r="T23" s="441" t="e">
        <f>MIN(S$5:T$5)+IF($B$2="mil",1,0.0254)*DDR2Specs!$C$2</f>
        <v>#REF!</v>
      </c>
      <c r="U23" s="533"/>
      <c r="V23" s="534" t="e">
        <f ca="1">IF($Q23&lt;$S23,$S23-$Q23,"Pass")</f>
        <v>#REF!</v>
      </c>
      <c r="W23" s="447" t="e">
        <f ca="1">IF($Q23&gt;$T23,$Q23-$T23,"Pass")</f>
        <v>#REF!</v>
      </c>
      <c r="X23" s="18"/>
      <c r="Y23" s="441">
        <f>SUM(E23:G23,I23:N23)</f>
        <v>3398.98</v>
      </c>
      <c r="Z23" s="441" t="e">
        <f ca="1">Y23+IF($B$2="mil",1,0.0254)*$C23</f>
        <v>#REF!</v>
      </c>
      <c r="AA23" s="441" t="e">
        <f>MAX(AA$20:AB$20)+IF($B$2="mil",1,0.0254)*DDR2Specs!$E$2</f>
        <v>#REF!</v>
      </c>
      <c r="AB23" s="441" t="e">
        <f>MIN(AA$20:AB$20)+IF($B$2="mil",1,0.0254)*DDR2Specs!$F$2</f>
        <v>#REF!</v>
      </c>
      <c r="AC23" s="18"/>
      <c r="AD23" s="534" t="e">
        <f ca="1">IF($Z23&lt;$AA23,$AA23-$Z23,"Pass")</f>
        <v>#REF!</v>
      </c>
      <c r="AE23" s="447" t="e">
        <f ca="1">IF($Z23&gt;$AB23,$Z23-$AB23,"Pass")</f>
        <v>#REF!</v>
      </c>
      <c r="AF23" s="18"/>
      <c r="AG23" s="447" t="e">
        <f ca="1">IF((ABS($Q23-$Q22)&lt;=IF($B$2="mil",1,0.0254)*5),"Pass",ABS($Q23-$Q22))</f>
        <v>#REF!</v>
      </c>
      <c r="AH23" s="447" t="e">
        <f ca="1">IF((ABS($Z23-$Z22)&lt;=IF($B$2="mil",1,0.0254)*5),"Pass",ABS($Z23-$Z22))</f>
        <v>#REF!</v>
      </c>
      <c r="AI23" s="447" t="e">
        <f>IF($E23&lt;=IF($B$2="mil",1,0.0254)*50,"Pass",IF($B$2="mil",1,0.0254)*50-$E23)</f>
        <v>#REF!</v>
      </c>
      <c r="AJ23" s="447" t="e">
        <f>IF($F23&lt;=IF($B$2="mil",1,0.0254)*500,"Pass",IF($B$2="mil",1,0.0254)*500-$F23)</f>
        <v>#REF!</v>
      </c>
      <c r="AK23" s="447" t="e">
        <f>IF($H23&lt;=IF($B$2="mil",1,0.0254)*250,"Pass",IF($B$2="mil",1,0.0254)*250-$H23)</f>
        <v>#REF!</v>
      </c>
      <c r="AL23" s="447" t="e">
        <f ca="1">CheckLength(IF($B$2="mil",1,0.0254)*1125, IF($B$2="mil",1,0.0254)*125-J23, 0, I23,J23,0)</f>
        <v>#NAME?</v>
      </c>
      <c r="AM23" s="447" t="e">
        <f>IF($J23&lt;=IF($B$2="mil",1,0.0254)*125,"Pass",IF($B$2="mil",1,0.0254)*125-$J23)</f>
        <v>#REF!</v>
      </c>
      <c r="AN23" s="447" t="e">
        <f>IF($L23&lt;=IF($B$2="mil",1,0.0254)*125,"Pass",IF($B$2="mil",1,0.0254)*125-$L23)</f>
        <v>#REF!</v>
      </c>
      <c r="AO23" s="447" t="e">
        <f ca="1">CheckLength(IF($B$2="mil",1,0.0254)*1250, IF($B$2="mil",1,0.0254)*125-L23, IF($B$2="mil",1,0.0254)*150-N23, M23,L23,N23)</f>
        <v>#NAME?</v>
      </c>
      <c r="AP23" s="447" t="e">
        <f ca="1">CheckLength2(IF($B$2="mil",1,0.0254)*1400,$M23,$N23,0)</f>
        <v>#NAME?</v>
      </c>
      <c r="AQ23" s="447" t="e">
        <f>IF(AND($P23&gt;=IF($B$2="mil",1,0.0254)*500, $P23&lt;=IF($B$2="mil",1,0.0254)*4000),"Pass",IF($B$2="mil",1,0.0254)*4000-$P23)</f>
        <v>#REF!</v>
      </c>
      <c r="AR23" s="447" t="e">
        <f ca="1">IF(AND($Q23&gt;=IF($B$2="mil",1,0.0254)*500, $Q23&lt;=IF($B$2="mil",1,0.0254)*4500),"Pass",IF($B$2="mil",1,0.0254)*4500-$Q23)</f>
        <v>#REF!</v>
      </c>
      <c r="AS23" s="447" t="e">
        <f>IF(AND($Y23&gt;=IF($B$2="mil",1,0.0254)*500, $Y23&lt;=IF($B$2="mil",1,0.0254)*5000),"Pass",IF($B$2="mil",1,0.0254)*5000-$Y23)</f>
        <v>#REF!</v>
      </c>
      <c r="AT23" s="447" t="e">
        <f ca="1">IF(AND($Z23&gt;=IF($B$2="mil",1,0.0254)*500, $Z23&lt;=IF($B$2="mil",1,0.0254)*6000),"Pass",IF($B$2="mil",1,0.0254)*6000-$Z23)</f>
        <v>#REF!</v>
      </c>
      <c r="AU23" s="18"/>
      <c r="AV23" s="2" t="e">
        <f ca="1">IF(AND(AI23="Pass",AR23="Pass",AK23="Pass",AJ23="Pass",AQ23="Pass",V23="Pass",W23="Pass",AO23="Pass",AP23="Pass",AN23="Pass",AM23="Pass",AL23="Pass",AG23="Pass",AH23="Pass",AS23="Pass",AT23="Pass",AD23="Pass",AE23="Pass"),"Pass","Fail")</f>
        <v>#REF!</v>
      </c>
    </row>
    <row r="24" spans="1:48" s="2" customFormat="1" x14ac:dyDescent="0.2">
      <c r="A24" s="6" t="s">
        <v>297</v>
      </c>
      <c r="B24" s="558"/>
      <c r="C24" s="559"/>
      <c r="D24" s="8"/>
      <c r="E24" s="258"/>
      <c r="F24" s="258"/>
      <c r="G24" s="258"/>
      <c r="H24" s="258"/>
      <c r="I24" s="258"/>
      <c r="J24" s="262"/>
      <c r="K24" s="8"/>
      <c r="L24" s="262"/>
      <c r="M24" s="262"/>
      <c r="N24" s="262"/>
      <c r="O24" s="8"/>
      <c r="P24" s="7"/>
      <c r="Q24" s="42"/>
      <c r="R24" s="8"/>
      <c r="S24" s="8"/>
      <c r="T24" s="8"/>
      <c r="U24" s="8"/>
      <c r="V24" s="8"/>
      <c r="W24" s="8"/>
      <c r="X24" s="8"/>
      <c r="Y24" s="7"/>
      <c r="Z24" s="42"/>
      <c r="AA24" s="8"/>
      <c r="AB24" s="13"/>
      <c r="AC24" s="8"/>
      <c r="AD24" s="13"/>
      <c r="AE24" s="13"/>
      <c r="AF24" s="8"/>
      <c r="AG24" s="13"/>
      <c r="AH24" s="13"/>
      <c r="AI24" s="13"/>
      <c r="AJ24" s="13"/>
      <c r="AK24" s="13"/>
      <c r="AL24" s="8"/>
      <c r="AM24" s="8"/>
      <c r="AN24" s="8"/>
      <c r="AO24" s="8"/>
      <c r="AP24" s="8"/>
      <c r="AQ24" s="8"/>
      <c r="AR24" s="8"/>
      <c r="AS24" s="8"/>
      <c r="AT24" s="8"/>
      <c r="AU24" s="10"/>
    </row>
    <row r="25" spans="1:48" s="2" customFormat="1" x14ac:dyDescent="0.2">
      <c r="A25" s="579" t="s">
        <v>72</v>
      </c>
      <c r="B25" s="580"/>
      <c r="C25" s="574"/>
      <c r="D25" s="44"/>
      <c r="E25" s="259"/>
      <c r="F25" s="259"/>
      <c r="G25" s="259"/>
      <c r="H25" s="259"/>
      <c r="I25" s="259"/>
      <c r="J25" s="263"/>
      <c r="K25" s="43"/>
      <c r="L25" s="263"/>
      <c r="M25" s="263"/>
      <c r="N25" s="263"/>
      <c r="O25" s="43"/>
      <c r="P25" s="67"/>
      <c r="Q25" s="54"/>
      <c r="R25" s="485"/>
      <c r="S25" s="145"/>
      <c r="T25" s="486"/>
      <c r="U25" s="44"/>
      <c r="V25" s="54"/>
      <c r="W25" s="54"/>
      <c r="X25" s="485"/>
      <c r="Y25" s="67"/>
      <c r="Z25" s="485" t="s">
        <v>274</v>
      </c>
      <c r="AA25" s="487" t="e">
        <f>MIN('DDR2 Clocks - 4L'!$O$13:$O$14)</f>
        <v>#REF!</v>
      </c>
      <c r="AB25" s="486" t="e">
        <f>MAX('DDR2 Clocks - 4L'!$O$13:$O$14)</f>
        <v>#REF!</v>
      </c>
      <c r="AC25" s="54"/>
      <c r="AD25" s="54"/>
      <c r="AE25" s="54"/>
      <c r="AF25" s="485"/>
      <c r="AG25" s="54"/>
      <c r="AH25" s="54"/>
      <c r="AI25" s="54"/>
      <c r="AJ25" s="43"/>
      <c r="AK25" s="43"/>
      <c r="AL25" s="43"/>
      <c r="AM25" s="43"/>
      <c r="AN25" s="43"/>
      <c r="AO25" s="43"/>
      <c r="AP25" s="43"/>
      <c r="AQ25" s="43"/>
      <c r="AR25" s="43"/>
      <c r="AS25" s="43"/>
      <c r="AT25" s="43"/>
      <c r="AU25" s="48"/>
    </row>
    <row r="26" spans="1:48" s="2" customFormat="1" x14ac:dyDescent="0.2">
      <c r="A26" s="6" t="s">
        <v>298</v>
      </c>
      <c r="B26" s="581"/>
      <c r="C26" s="575"/>
      <c r="D26" s="51"/>
      <c r="E26" s="260"/>
      <c r="F26" s="260"/>
      <c r="G26" s="260"/>
      <c r="H26" s="260"/>
      <c r="I26" s="260"/>
      <c r="J26" s="264"/>
      <c r="K26" s="45"/>
      <c r="L26" s="264"/>
      <c r="M26" s="264"/>
      <c r="N26" s="264"/>
      <c r="O26" s="45"/>
      <c r="P26" s="45"/>
      <c r="Q26" s="45"/>
      <c r="R26" s="45"/>
      <c r="S26" s="45"/>
      <c r="T26" s="55"/>
      <c r="U26" s="45"/>
      <c r="V26" s="55"/>
      <c r="W26" s="55"/>
      <c r="X26" s="55"/>
      <c r="Y26" s="45"/>
      <c r="Z26" s="45"/>
      <c r="AA26" s="55"/>
      <c r="AB26" s="56"/>
      <c r="AC26" s="55"/>
      <c r="AD26" s="45"/>
      <c r="AE26" s="45"/>
      <c r="AF26" s="55"/>
      <c r="AG26" s="45"/>
      <c r="AH26" s="45"/>
      <c r="AI26" s="45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7"/>
    </row>
    <row r="27" spans="1:48" s="2" customFormat="1" x14ac:dyDescent="0.2">
      <c r="A27" s="578" t="e">
        <f ca="1">Assign1x8(#REF!,"Name")</f>
        <v>#NAME?</v>
      </c>
      <c r="B27" s="578" t="e">
        <f ca="1">Assign1x8(#REF!,"Ball")</f>
        <v>#NAME?</v>
      </c>
      <c r="C27" s="578" t="e">
        <f ca="1">Assign1x8(#REF!,"Len")</f>
        <v>#NAME?</v>
      </c>
      <c r="D27" s="16"/>
      <c r="E27" s="17">
        <v>29.7</v>
      </c>
      <c r="F27" s="17">
        <v>0</v>
      </c>
      <c r="G27" s="271">
        <v>2077.58</v>
      </c>
      <c r="H27" s="271">
        <v>82.13</v>
      </c>
      <c r="I27" s="17">
        <v>0</v>
      </c>
      <c r="J27" s="271">
        <v>55.54</v>
      </c>
      <c r="K27" s="17">
        <v>40</v>
      </c>
      <c r="L27" s="271">
        <v>92.86</v>
      </c>
      <c r="M27" s="271">
        <v>802.33</v>
      </c>
      <c r="N27" s="271">
        <v>330</v>
      </c>
      <c r="O27" s="58"/>
      <c r="P27" s="441">
        <f xml:space="preserve"> E27+F27+G27+H27</f>
        <v>2189.41</v>
      </c>
      <c r="Q27" s="441" t="e">
        <f ca="1">P27+IF($B$2="mil",1,0.0254)*C27</f>
        <v>#REF!</v>
      </c>
      <c r="R27" s="533"/>
      <c r="S27" s="441" t="e">
        <f>MAX(S$5:T$5)+IF($B$2="mil",1,0.0254)*DDR2Specs!$B$2</f>
        <v>#REF!</v>
      </c>
      <c r="T27" s="441" t="e">
        <f>MIN(S$5:T$5)+IF($B$2="mil",1,0.0254)*DDR2Specs!$C$2</f>
        <v>#REF!</v>
      </c>
      <c r="U27" s="533"/>
      <c r="V27" s="534" t="e">
        <f ca="1">IF($Q27&lt;$S27,$S27-$Q27,"Pass")</f>
        <v>#REF!</v>
      </c>
      <c r="W27" s="447" t="e">
        <f ca="1">IF($Q27&gt;$T27,$Q27-$T27,"Pass")</f>
        <v>#REF!</v>
      </c>
      <c r="X27" s="18"/>
      <c r="Y27" s="441">
        <f>SUM(E27:G27,I27:N27)</f>
        <v>3428.0099999999998</v>
      </c>
      <c r="Z27" s="441" t="e">
        <f ca="1">Y27+IF($B$2="mil",1,0.0254)*$C27</f>
        <v>#REF!</v>
      </c>
      <c r="AA27" s="441" t="e">
        <f>MAX(AA$25:AB$25)+IF($B$2="mil",1,0.0254)*DDR2Specs!$E$2</f>
        <v>#REF!</v>
      </c>
      <c r="AB27" s="441" t="e">
        <f>MIN(AA$25:AB$25)+IF($B$2="mil",1,0.0254)*DDR2Specs!$F$2</f>
        <v>#REF!</v>
      </c>
      <c r="AC27" s="18"/>
      <c r="AD27" s="534" t="e">
        <f ca="1">IF($Z27&lt;$AA27,$AA27-$Z27,"Pass")</f>
        <v>#REF!</v>
      </c>
      <c r="AE27" s="447" t="e">
        <f ca="1">IF($Z27&gt;$AB27,$Z27-$AB27,"Pass")</f>
        <v>#REF!</v>
      </c>
      <c r="AF27" s="18"/>
      <c r="AG27" s="447" t="e">
        <f ca="1">IF((ABS($Q27-$Q28)&lt;=IF($B$2="mil",1,0.0254)*5),"Pass",ABS($Q27-$Q28))</f>
        <v>#REF!</v>
      </c>
      <c r="AH27" s="447" t="e">
        <f ca="1">IF((ABS($Z27-$Z28)&lt;=IF($B$2="mil",1,0.0254)*5),"Pass",ABS($Z27-$Z28))</f>
        <v>#REF!</v>
      </c>
      <c r="AI27" s="447" t="e">
        <f>IF($E27&lt;=IF($B$2="mil",1,0.0254)*50,"Pass",IF($B$2="mil",1,0.0254)*50-$E27)</f>
        <v>#REF!</v>
      </c>
      <c r="AJ27" s="447" t="e">
        <f>IF($F27&lt;=IF($B$2="mil",1,0.0254)*500,"Pass",IF($B$2="mil",1,0.0254)*500-$F27)</f>
        <v>#REF!</v>
      </c>
      <c r="AK27" s="447" t="e">
        <f>IF($H27&lt;=IF($B$2="mil",1,0.0254)*250,"Pass",IF($B$2="mil",1,0.0254)*250-$H27)</f>
        <v>#REF!</v>
      </c>
      <c r="AL27" s="447" t="e">
        <f ca="1">CheckLength(IF($B$2="mil",1,0.0254)*1125, IF($B$2="mil",1,0.0254)*125-J27, 0, I27,J27,0)</f>
        <v>#NAME?</v>
      </c>
      <c r="AM27" s="447" t="e">
        <f>IF($J27&lt;=IF($B$2="mil",1,0.0254)*125,"Pass",IF($B$2="mil",1,0.0254)*125-$J27)</f>
        <v>#REF!</v>
      </c>
      <c r="AN27" s="447" t="e">
        <f>IF($L27&lt;=IF($B$2="mil",1,0.0254)*125,"Pass",IF($B$2="mil",1,0.0254)*125-$L27)</f>
        <v>#REF!</v>
      </c>
      <c r="AO27" s="447" t="e">
        <f ca="1">CheckLength(IF($B$2="mil",1,0.0254)*1250, IF($B$2="mil",1,0.0254)*125-L27, IF($B$2="mil",1,0.0254)*150-N27, M27,L27,N27)</f>
        <v>#NAME?</v>
      </c>
      <c r="AP27" s="447" t="e">
        <f ca="1">CheckLength2(IF($B$2="mil",1,0.0254)*1400,$M27,$N27,0)</f>
        <v>#NAME?</v>
      </c>
      <c r="AQ27" s="447" t="e">
        <f>IF(AND($P27&gt;=IF($B$2="mil",1,0.0254)*500, $P27&lt;=IF($B$2="mil",1,0.0254)*4000),"Pass",IF($B$2="mil",1,0.0254)*4000-$P27)</f>
        <v>#REF!</v>
      </c>
      <c r="AR27" s="447" t="e">
        <f ca="1">IF(AND($Q27&gt;=IF($B$2="mil",1,0.0254)*500, $Q27&lt;=IF($B$2="mil",1,0.0254)*4500),"Pass",IF($B$2="mil",1,0.0254)*4500-$Q27)</f>
        <v>#REF!</v>
      </c>
      <c r="AS27" s="447" t="e">
        <f>IF(AND($Y27&gt;=IF($B$2="mil",1,0.0254)*500, $Y27&lt;=IF($B$2="mil",1,0.0254)*5000),"Pass",IF($B$2="mil",1,0.0254)*5000-$Y27)</f>
        <v>#REF!</v>
      </c>
      <c r="AT27" s="447" t="e">
        <f ca="1">IF(AND($Z27&gt;=IF($B$2="mil",1,0.0254)*500, $Z27&lt;=IF($B$2="mil",1,0.0254)*6000),"Pass",IF($B$2="mil",1,0.0254)*6000-$Z27)</f>
        <v>#REF!</v>
      </c>
      <c r="AU27" s="18"/>
      <c r="AV27" s="2" t="e">
        <f ca="1">IF(AND(AI27="Pass",AR27="Pass",AK27="Pass",AJ27="Pass",AQ27="Pass",V27="Pass",W27="Pass",AO27="Pass",AP27="Pass",AN27="Pass",AM27="Pass",AL27="Pass",AG27="Pass",AH27="Pass",AS27="Pass",AT27="Pass",AD27="Pass",AE27="Pass"),"Pass","Fail")</f>
        <v>#REF!</v>
      </c>
    </row>
    <row r="28" spans="1:48" s="2" customFormat="1" x14ac:dyDescent="0.2">
      <c r="A28" s="578" t="e">
        <f ca="1">Assign1x8(#REF!,"Name_P")</f>
        <v>#NAME?</v>
      </c>
      <c r="B28" s="578" t="e">
        <f ca="1">Assign1x8(#REF!,"Ball_P")</f>
        <v>#NAME?</v>
      </c>
      <c r="C28" s="578" t="e">
        <f ca="1">Assign1x8(#REF!,"Len_P")</f>
        <v>#NAME?</v>
      </c>
      <c r="D28" s="16"/>
      <c r="E28" s="17">
        <v>29.7</v>
      </c>
      <c r="F28" s="17">
        <v>0</v>
      </c>
      <c r="G28" s="271">
        <v>2094.7399999999998</v>
      </c>
      <c r="H28" s="271">
        <v>68.650000000000006</v>
      </c>
      <c r="I28" s="17">
        <v>0</v>
      </c>
      <c r="J28" s="271">
        <v>58.86</v>
      </c>
      <c r="K28" s="17">
        <v>40</v>
      </c>
      <c r="L28" s="271">
        <v>95.15</v>
      </c>
      <c r="M28" s="271">
        <v>779.5</v>
      </c>
      <c r="N28" s="271">
        <v>330</v>
      </c>
      <c r="O28" s="58"/>
      <c r="P28" s="441">
        <f xml:space="preserve"> E28+F28+G28+H28</f>
        <v>2193.0899999999997</v>
      </c>
      <c r="Q28" s="441" t="e">
        <f ca="1">P28+IF($B$2="mil",1,0.0254)*C28</f>
        <v>#REF!</v>
      </c>
      <c r="R28" s="533"/>
      <c r="S28" s="441" t="e">
        <f>MAX(S$5:T$5)+IF($B$2="mil",1,0.0254)*DDR2Specs!$B$2</f>
        <v>#REF!</v>
      </c>
      <c r="T28" s="441" t="e">
        <f>MIN(S$5:T$5)+IF($B$2="mil",1,0.0254)*DDR2Specs!$C$2</f>
        <v>#REF!</v>
      </c>
      <c r="U28" s="533"/>
      <c r="V28" s="534" t="e">
        <f ca="1">IF($Q28&lt;$S28,$S28-$Q28,"Pass")</f>
        <v>#REF!</v>
      </c>
      <c r="W28" s="447" t="e">
        <f ca="1">IF($Q28&gt;$T28,$Q28-$T28,"Pass")</f>
        <v>#REF!</v>
      </c>
      <c r="X28" s="18"/>
      <c r="Y28" s="441">
        <f>SUM(E28:G28,I28:N28)</f>
        <v>3427.95</v>
      </c>
      <c r="Z28" s="441" t="e">
        <f ca="1">Y28+IF($B$2="mil",1,0.0254)*$C28</f>
        <v>#REF!</v>
      </c>
      <c r="AA28" s="441" t="e">
        <f>MAX(AA$25:AB$25)+IF($B$2="mil",1,0.0254)*DDR2Specs!$E$2</f>
        <v>#REF!</v>
      </c>
      <c r="AB28" s="441" t="e">
        <f>MIN(AA$25:AB$25)+IF($B$2="mil",1,0.0254)*DDR2Specs!$F$2</f>
        <v>#REF!</v>
      </c>
      <c r="AC28" s="18"/>
      <c r="AD28" s="534" t="e">
        <f ca="1">IF($Z28&lt;$AA28,$AA28-$Z28,"Pass")</f>
        <v>#REF!</v>
      </c>
      <c r="AE28" s="447" t="e">
        <f ca="1">IF($Z28&gt;$AB28,$Z28-$AB28,"Pass")</f>
        <v>#REF!</v>
      </c>
      <c r="AF28" s="18"/>
      <c r="AG28" s="447" t="e">
        <f ca="1">IF((ABS($Q28-$Q27)&lt;=IF($B$2="mil",1,0.0254)*5),"Pass",ABS($Q28-$Q27))</f>
        <v>#REF!</v>
      </c>
      <c r="AH28" s="447" t="e">
        <f ca="1">IF((ABS($Z28-$Z27)&lt;=IF($B$2="mil",1,0.0254)*5),"Pass",ABS($Z28-$Z27))</f>
        <v>#REF!</v>
      </c>
      <c r="AI28" s="447" t="e">
        <f>IF($E28&lt;=IF($B$2="mil",1,0.0254)*50,"Pass",IF($B$2="mil",1,0.0254)*50-$E28)</f>
        <v>#REF!</v>
      </c>
      <c r="AJ28" s="447" t="e">
        <f>IF($F28&lt;=IF($B$2="mil",1,0.0254)*500,"Pass",IF($B$2="mil",1,0.0254)*500-$F28)</f>
        <v>#REF!</v>
      </c>
      <c r="AK28" s="447" t="e">
        <f>IF($H28&lt;=IF($B$2="mil",1,0.0254)*250,"Pass",IF($B$2="mil",1,0.0254)*250-$H28)</f>
        <v>#REF!</v>
      </c>
      <c r="AL28" s="447" t="e">
        <f ca="1">CheckLength(IF($B$2="mil",1,0.0254)*1125, IF($B$2="mil",1,0.0254)*125-J28, 0, I28,J28,0)</f>
        <v>#NAME?</v>
      </c>
      <c r="AM28" s="447" t="e">
        <f>IF($J28&lt;=IF($B$2="mil",1,0.0254)*125,"Pass",IF($B$2="mil",1,0.0254)*125-$J28)</f>
        <v>#REF!</v>
      </c>
      <c r="AN28" s="447" t="e">
        <f>IF($L28&lt;=IF($B$2="mil",1,0.0254)*125,"Pass",IF($B$2="mil",1,0.0254)*125-$L28)</f>
        <v>#REF!</v>
      </c>
      <c r="AO28" s="447" t="e">
        <f ca="1">CheckLength(IF($B$2="mil",1,0.0254)*1250, IF($B$2="mil",1,0.0254)*125-L28, IF($B$2="mil",1,0.0254)*150-N28, M28,L28,N28)</f>
        <v>#NAME?</v>
      </c>
      <c r="AP28" s="447" t="e">
        <f ca="1">CheckLength2(IF($B$2="mil",1,0.0254)*1400,$M28,$N28,0)</f>
        <v>#NAME?</v>
      </c>
      <c r="AQ28" s="447" t="e">
        <f>IF(AND($P28&gt;=IF($B$2="mil",1,0.0254)*500, $P28&lt;=IF($B$2="mil",1,0.0254)*4000),"Pass",IF($B$2="mil",1,0.0254)*4000-$P28)</f>
        <v>#REF!</v>
      </c>
      <c r="AR28" s="447" t="e">
        <f ca="1">IF(AND($Q28&gt;=IF($B$2="mil",1,0.0254)*500, $Q28&lt;=IF($B$2="mil",1,0.0254)*4500),"Pass",IF($B$2="mil",1,0.0254)*4500-$Q28)</f>
        <v>#REF!</v>
      </c>
      <c r="AS28" s="447" t="e">
        <f>IF(AND($Y28&gt;=IF($B$2="mil",1,0.0254)*500, $Y28&lt;=IF($B$2="mil",1,0.0254)*5000),"Pass",IF($B$2="mil",1,0.0254)*5000-$Y28)</f>
        <v>#REF!</v>
      </c>
      <c r="AT28" s="447" t="e">
        <f ca="1">IF(AND($Z28&gt;=IF($B$2="mil",1,0.0254)*500, $Z28&lt;=IF($B$2="mil",1,0.0254)*6000),"Pass",IF($B$2="mil",1,0.0254)*6000-$Z28)</f>
        <v>#REF!</v>
      </c>
      <c r="AU28" s="18"/>
      <c r="AV28" s="2" t="e">
        <f ca="1">IF(AND(AI28="Pass",AR28="Pass",AK28="Pass",AJ28="Pass",AQ28="Pass",V28="Pass",W28="Pass",AO28="Pass",AP28="Pass",AN28="Pass",AM28="Pass",AL28="Pass",AG28="Pass",AH28="Pass",AS28="Pass",AT28="Pass",AD28="Pass",AE28="Pass"),"Pass","Fail")</f>
        <v>#REF!</v>
      </c>
    </row>
    <row r="29" spans="1:48" s="2" customFormat="1" x14ac:dyDescent="0.2">
      <c r="A29" s="6" t="s">
        <v>297</v>
      </c>
      <c r="B29" s="558"/>
      <c r="C29" s="559"/>
      <c r="D29" s="8"/>
      <c r="E29" s="258"/>
      <c r="F29" s="258"/>
      <c r="G29" s="258"/>
      <c r="H29" s="258"/>
      <c r="I29" s="258"/>
      <c r="J29" s="262"/>
      <c r="K29" s="8"/>
      <c r="L29" s="262"/>
      <c r="M29" s="262"/>
      <c r="N29" s="262"/>
      <c r="O29" s="8"/>
      <c r="P29" s="7"/>
      <c r="Q29" s="42"/>
      <c r="R29" s="8"/>
      <c r="S29" s="8"/>
      <c r="T29" s="8"/>
      <c r="U29" s="8"/>
      <c r="V29" s="8"/>
      <c r="W29" s="8"/>
      <c r="X29" s="8"/>
      <c r="Y29" s="7"/>
      <c r="Z29" s="42"/>
      <c r="AA29" s="8"/>
      <c r="AB29" s="13"/>
      <c r="AC29" s="8"/>
      <c r="AD29" s="13"/>
      <c r="AE29" s="13"/>
      <c r="AF29" s="8"/>
      <c r="AG29" s="13"/>
      <c r="AH29" s="13"/>
      <c r="AI29" s="13"/>
      <c r="AJ29" s="13"/>
      <c r="AK29" s="13"/>
      <c r="AL29" s="8"/>
      <c r="AM29" s="8"/>
      <c r="AN29" s="8"/>
      <c r="AO29" s="8"/>
      <c r="AP29" s="8"/>
      <c r="AQ29" s="8"/>
      <c r="AR29" s="8"/>
      <c r="AS29" s="8"/>
      <c r="AT29" s="8"/>
      <c r="AU29" s="10"/>
    </row>
    <row r="30" spans="1:48" s="2" customFormat="1" x14ac:dyDescent="0.2">
      <c r="A30" s="579" t="s">
        <v>72</v>
      </c>
      <c r="B30" s="580"/>
      <c r="C30" s="574"/>
      <c r="D30" s="44"/>
      <c r="E30" s="259"/>
      <c r="F30" s="259"/>
      <c r="G30" s="259"/>
      <c r="H30" s="259"/>
      <c r="I30" s="259"/>
      <c r="J30" s="263"/>
      <c r="K30" s="43"/>
      <c r="L30" s="263"/>
      <c r="M30" s="263"/>
      <c r="N30" s="263"/>
      <c r="O30" s="43"/>
      <c r="P30" s="67"/>
      <c r="Q30" s="54"/>
      <c r="R30" s="485"/>
      <c r="S30" s="145"/>
      <c r="T30" s="486"/>
      <c r="U30" s="44"/>
      <c r="V30" s="54"/>
      <c r="W30" s="54"/>
      <c r="X30" s="485"/>
      <c r="Y30" s="67"/>
      <c r="Z30" s="485" t="s">
        <v>334</v>
      </c>
      <c r="AA30" s="487" t="e">
        <f>MIN('DDR2 Clocks - 4L'!$O$15:$O$16)</f>
        <v>#REF!</v>
      </c>
      <c r="AB30" s="486" t="e">
        <f>MAX('DDR2 Clocks - 4L'!$O$15:$O$16)</f>
        <v>#REF!</v>
      </c>
      <c r="AC30" s="54"/>
      <c r="AD30" s="54"/>
      <c r="AE30" s="54"/>
      <c r="AF30" s="485"/>
      <c r="AG30" s="54"/>
      <c r="AH30" s="54"/>
      <c r="AI30" s="54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8"/>
    </row>
    <row r="31" spans="1:48" s="2" customFormat="1" x14ac:dyDescent="0.2">
      <c r="A31" s="6" t="s">
        <v>298</v>
      </c>
      <c r="B31" s="581"/>
      <c r="C31" s="575"/>
      <c r="D31" s="51"/>
      <c r="E31" s="260"/>
      <c r="F31" s="260"/>
      <c r="G31" s="260"/>
      <c r="H31" s="260"/>
      <c r="I31" s="260"/>
      <c r="J31" s="264"/>
      <c r="K31" s="45"/>
      <c r="L31" s="264"/>
      <c r="M31" s="264"/>
      <c r="N31" s="264"/>
      <c r="O31" s="45"/>
      <c r="P31" s="45"/>
      <c r="Q31" s="45"/>
      <c r="R31" s="45"/>
      <c r="S31" s="45"/>
      <c r="T31" s="55"/>
      <c r="U31" s="45"/>
      <c r="V31" s="55"/>
      <c r="W31" s="55"/>
      <c r="X31" s="55"/>
      <c r="Y31" s="45"/>
      <c r="Z31" s="45"/>
      <c r="AA31" s="55"/>
      <c r="AB31" s="56"/>
      <c r="AC31" s="55"/>
      <c r="AD31" s="45"/>
      <c r="AE31" s="45"/>
      <c r="AF31" s="55"/>
      <c r="AG31" s="45"/>
      <c r="AH31" s="45"/>
      <c r="AI31" s="45"/>
      <c r="AJ31" s="55"/>
      <c r="AK31" s="55"/>
      <c r="AL31" s="55"/>
      <c r="AM31" s="55"/>
      <c r="AN31" s="55"/>
      <c r="AO31" s="55"/>
      <c r="AP31" s="55"/>
      <c r="AQ31" s="55"/>
      <c r="AR31" s="55"/>
      <c r="AS31" s="55"/>
      <c r="AT31" s="55"/>
      <c r="AU31" s="57"/>
    </row>
    <row r="32" spans="1:48" s="2" customFormat="1" x14ac:dyDescent="0.2">
      <c r="A32" s="578" t="e">
        <f ca="1">Assign1x8(#REF!,"Name")</f>
        <v>#NAME?</v>
      </c>
      <c r="B32" s="578" t="e">
        <f ca="1">Assign1x8(#REF!,"Ball")</f>
        <v>#NAME?</v>
      </c>
      <c r="C32" s="578" t="e">
        <f ca="1">Assign1x8(#REF!,"Len")</f>
        <v>#NAME?</v>
      </c>
      <c r="D32" s="16"/>
      <c r="E32" s="17">
        <v>29.7</v>
      </c>
      <c r="F32" s="17">
        <v>0</v>
      </c>
      <c r="G32" s="271">
        <v>2350</v>
      </c>
      <c r="H32" s="271">
        <v>88.11</v>
      </c>
      <c r="I32" s="17">
        <v>0</v>
      </c>
      <c r="J32" s="271">
        <v>67.680000000000007</v>
      </c>
      <c r="K32" s="17">
        <v>40</v>
      </c>
      <c r="L32" s="271">
        <v>122.75</v>
      </c>
      <c r="M32" s="271">
        <v>803.3</v>
      </c>
      <c r="N32" s="271">
        <v>330</v>
      </c>
      <c r="O32" s="58"/>
      <c r="P32" s="441">
        <f xml:space="preserve"> E32+F32+G32+H32</f>
        <v>2467.81</v>
      </c>
      <c r="Q32" s="441" t="e">
        <f ca="1">P32+IF($B$2="mil",1,0.0254)*C32</f>
        <v>#REF!</v>
      </c>
      <c r="R32" s="533"/>
      <c r="S32" s="441" t="e">
        <f>MAX(S$5:T$5)+IF($B$2="mil",1,0.0254)*DDR2Specs!$B$2</f>
        <v>#REF!</v>
      </c>
      <c r="T32" s="441" t="e">
        <f>MIN(S$5:T$5)+IF($B$2="mil",1,0.0254)*DDR2Specs!$C$2</f>
        <v>#REF!</v>
      </c>
      <c r="U32" s="533"/>
      <c r="V32" s="534" t="e">
        <f ca="1">IF($Q32&lt;$S32,$S32-$Q32,"Pass")</f>
        <v>#REF!</v>
      </c>
      <c r="W32" s="447" t="e">
        <f ca="1">IF($Q32&gt;$T32,$Q32-$T32,"Pass")</f>
        <v>#REF!</v>
      </c>
      <c r="X32" s="18"/>
      <c r="Y32" s="441">
        <f>SUM(E32:G32,I32:N32)</f>
        <v>3743.4299999999994</v>
      </c>
      <c r="Z32" s="441" t="e">
        <f ca="1">Y32+IF($B$2="mil",1,0.0254)*$C32</f>
        <v>#REF!</v>
      </c>
      <c r="AA32" s="441" t="e">
        <f>MAX(AA$30:AB$30)+IF($B$2="mil",1,0.0254)*DDR2Specs!$E$2</f>
        <v>#REF!</v>
      </c>
      <c r="AB32" s="441" t="e">
        <f>MIN(AA$30:AB$30)+IF($B$2="mil",1,0.0254)*DDR2Specs!$F$2</f>
        <v>#REF!</v>
      </c>
      <c r="AC32" s="18"/>
      <c r="AD32" s="534" t="e">
        <f ca="1">IF($Z32&lt;$AA32,$AA32-$Z32,"Pass")</f>
        <v>#REF!</v>
      </c>
      <c r="AE32" s="447" t="e">
        <f ca="1">IF($Z32&gt;$AB32,$Z32-$AB32,"Pass")</f>
        <v>#REF!</v>
      </c>
      <c r="AF32" s="18"/>
      <c r="AG32" s="447" t="e">
        <f ca="1">IF((ABS($Q32-$Q33)&lt;=IF($B$2="mil",1,0.0254)*5),"Pass",ABS($Q32-$Q33))</f>
        <v>#REF!</v>
      </c>
      <c r="AH32" s="447" t="e">
        <f ca="1">IF((ABS($Z32-$Z33)&lt;=IF($B$2="mil",1,0.0254)*5),"Pass",ABS($Z32-$Z33))</f>
        <v>#REF!</v>
      </c>
      <c r="AI32" s="447" t="e">
        <f>IF($E32&lt;=IF($B$2="mil",1,0.0254)*50,"Pass",IF($B$2="mil",1,0.0254)*50-$E32)</f>
        <v>#REF!</v>
      </c>
      <c r="AJ32" s="447" t="e">
        <f>IF($F32&lt;=IF($B$2="mil",1,0.0254)*500,"Pass",IF($B$2="mil",1,0.0254)*500-$F32)</f>
        <v>#REF!</v>
      </c>
      <c r="AK32" s="447" t="e">
        <f>IF($H32&lt;=IF($B$2="mil",1,0.0254)*250,"Pass",IF($B$2="mil",1,0.0254)*250-$H32)</f>
        <v>#REF!</v>
      </c>
      <c r="AL32" s="447" t="e">
        <f ca="1">CheckLength(IF($B$2="mil",1,0.0254)*1125, IF($B$2="mil",1,0.0254)*125-J32, 0, I32,J32,0)</f>
        <v>#NAME?</v>
      </c>
      <c r="AM32" s="447" t="e">
        <f>IF($J32&lt;=IF($B$2="mil",1,0.0254)*125,"Pass",IF($B$2="mil",1,0.0254)*125-$J32)</f>
        <v>#REF!</v>
      </c>
      <c r="AN32" s="447" t="e">
        <f>IF($L32&lt;=IF($B$2="mil",1,0.0254)*125,"Pass",IF($B$2="mil",1,0.0254)*125-$L32)</f>
        <v>#REF!</v>
      </c>
      <c r="AO32" s="447" t="e">
        <f ca="1">CheckLength(IF($B$2="mil",1,0.0254)*1250, IF($B$2="mil",1,0.0254)*125-L32, IF($B$2="mil",1,0.0254)*150-N32, M32,L32,N32)</f>
        <v>#NAME?</v>
      </c>
      <c r="AP32" s="447" t="e">
        <f ca="1">CheckLength2(IF($B$2="mil",1,0.0254)*1400,$M32,$N32,0)</f>
        <v>#NAME?</v>
      </c>
      <c r="AQ32" s="447" t="e">
        <f>IF(AND($P32&gt;=IF($B$2="mil",1,0.0254)*500, $P32&lt;=IF($B$2="mil",1,0.0254)*4000),"Pass",IF($B$2="mil",1,0.0254)*4000-$P32)</f>
        <v>#REF!</v>
      </c>
      <c r="AR32" s="447" t="e">
        <f ca="1">IF(AND($Q32&gt;=IF($B$2="mil",1,0.0254)*500, $Q32&lt;=IF($B$2="mil",1,0.0254)*4500),"Pass",IF($B$2="mil",1,0.0254)*4500-$Q32)</f>
        <v>#REF!</v>
      </c>
      <c r="AS32" s="447" t="e">
        <f>IF(AND($Y32&gt;=IF($B$2="mil",1,0.0254)*500, $Y32&lt;=IF($B$2="mil",1,0.0254)*6250),"Pass",IF($B$2="mil",1,0.0254)*6250-$Y32)</f>
        <v>#REF!</v>
      </c>
      <c r="AT32" s="447" t="e">
        <f ca="1">IF(AND($Z32&gt;=IF($B$2="mil",1,0.0254)*500, $Z32&lt;=IF($B$2="mil",1,0.0254)*6000),"Pass",IF($B$2="mil",1,0.0254)*6000-$Z32)</f>
        <v>#REF!</v>
      </c>
      <c r="AU32" s="18"/>
      <c r="AV32" s="2" t="e">
        <f ca="1">IF(AND(AI32="Pass",AR32="Pass",AK32="Pass",AJ32="Pass",AQ32="Pass",V32="Pass",W32="Pass",AO32="Pass",AP32="Pass",AN32="Pass",AM32="Pass",AL32="Pass",AG32="Pass",AH32="Pass",AS32="Pass",AT32="Pass",AD32="Pass",AE32="Pass"),"Pass","Fail")</f>
        <v>#REF!</v>
      </c>
    </row>
    <row r="33" spans="1:58" s="2" customFormat="1" x14ac:dyDescent="0.2">
      <c r="A33" s="578" t="e">
        <f ca="1">Assign1x8(#REF!,"Name_P")</f>
        <v>#NAME?</v>
      </c>
      <c r="B33" s="578" t="e">
        <f ca="1">Assign1x8(#REF!,"Ball_P")</f>
        <v>#NAME?</v>
      </c>
      <c r="C33" s="578" t="e">
        <f ca="1">Assign1x8(#REF!,"Len_P")</f>
        <v>#NAME?</v>
      </c>
      <c r="D33" s="16"/>
      <c r="E33" s="17">
        <v>29.7</v>
      </c>
      <c r="F33" s="17">
        <v>0</v>
      </c>
      <c r="G33" s="271">
        <v>2350</v>
      </c>
      <c r="H33" s="271">
        <v>85.59</v>
      </c>
      <c r="I33" s="17">
        <v>0</v>
      </c>
      <c r="J33" s="271">
        <v>66.03</v>
      </c>
      <c r="K33" s="17">
        <v>40</v>
      </c>
      <c r="L33" s="271">
        <v>124.97</v>
      </c>
      <c r="M33" s="271">
        <v>798.33</v>
      </c>
      <c r="N33" s="271">
        <v>330</v>
      </c>
      <c r="O33" s="58"/>
      <c r="P33" s="441">
        <f xml:space="preserve"> E33+F33+G33+H33</f>
        <v>2465.29</v>
      </c>
      <c r="Q33" s="441" t="e">
        <f ca="1">P33+IF($B$2="mil",1,0.0254)*C33</f>
        <v>#REF!</v>
      </c>
      <c r="R33" s="533"/>
      <c r="S33" s="441" t="e">
        <f>MAX(S$5:T$5)+IF($B$2="mil",1,0.0254)*DDR2Specs!$B$2</f>
        <v>#REF!</v>
      </c>
      <c r="T33" s="441" t="e">
        <f>MIN(S$5:T$5)+IF($B$2="mil",1,0.0254)*DDR2Specs!$C$2</f>
        <v>#REF!</v>
      </c>
      <c r="U33" s="533"/>
      <c r="V33" s="534" t="e">
        <f ca="1">IF($Q33&lt;$S33,$S33-$Q33,"Pass")</f>
        <v>#REF!</v>
      </c>
      <c r="W33" s="447" t="e">
        <f ca="1">IF($Q33&gt;$T33,$Q33-$T33,"Pass")</f>
        <v>#REF!</v>
      </c>
      <c r="X33" s="18"/>
      <c r="Y33" s="441">
        <f>SUM(E33:G33,I33:N33)</f>
        <v>3739.0299999999997</v>
      </c>
      <c r="Z33" s="441" t="e">
        <f ca="1">Y33+IF($B$2="mil",1,0.0254)*$C33</f>
        <v>#REF!</v>
      </c>
      <c r="AA33" s="441" t="e">
        <f>MAX(AA$30:AB$30)+IF($B$2="mil",1,0.0254)*DDR2Specs!$E$2</f>
        <v>#REF!</v>
      </c>
      <c r="AB33" s="441" t="e">
        <f>MIN(AA$30:AB$30)+IF($B$2="mil",1,0.0254)*DDR2Specs!$F$2</f>
        <v>#REF!</v>
      </c>
      <c r="AC33" s="18"/>
      <c r="AD33" s="534" t="e">
        <f ca="1">IF($Z33&lt;$AA33,$AA33-$Z33,"Pass")</f>
        <v>#REF!</v>
      </c>
      <c r="AE33" s="447" t="e">
        <f ca="1">IF($Z33&gt;$AB33,$Z33-$AB33,"Pass")</f>
        <v>#REF!</v>
      </c>
      <c r="AF33" s="18"/>
      <c r="AG33" s="447" t="e">
        <f ca="1">IF((ABS($Q33-$Q32)&lt;=IF($B$2="mil",1,0.0254)*5),"Pass",ABS($Q33-$Q32))</f>
        <v>#REF!</v>
      </c>
      <c r="AH33" s="447" t="e">
        <f ca="1">IF((ABS($Z33-$Z32)&lt;=IF($B$2="mil",1,0.0254)*5),"Pass",ABS($Z33-$Z32))</f>
        <v>#REF!</v>
      </c>
      <c r="AI33" s="447" t="e">
        <f>IF($E33&lt;=IF($B$2="mil",1,0.0254)*50,"Pass",IF($B$2="mil",1,0.0254)*50-$E33)</f>
        <v>#REF!</v>
      </c>
      <c r="AJ33" s="447" t="e">
        <f>IF($F33&lt;=IF($B$2="mil",1,0.0254)*500,"Pass",IF($B$2="mil",1,0.0254)*500-$F33)</f>
        <v>#REF!</v>
      </c>
      <c r="AK33" s="447" t="e">
        <f>IF($H33&lt;=IF($B$2="mil",1,0.0254)*250,"Pass",IF($B$2="mil",1,0.0254)*250-$H33)</f>
        <v>#REF!</v>
      </c>
      <c r="AL33" s="447" t="e">
        <f ca="1">CheckLength(IF($B$2="mil",1,0.0254)*1125, IF($B$2="mil",1,0.0254)*125-J33, 0, I33,J33,0)</f>
        <v>#NAME?</v>
      </c>
      <c r="AM33" s="447" t="e">
        <f>IF($J33&lt;=IF($B$2="mil",1,0.0254)*125,"Pass",IF($B$2="mil",1,0.0254)*125-$J33)</f>
        <v>#REF!</v>
      </c>
      <c r="AN33" s="447" t="e">
        <f>IF($L33&lt;=IF($B$2="mil",1,0.0254)*125,"Pass",IF($B$2="mil",1,0.0254)*125-$L33)</f>
        <v>#REF!</v>
      </c>
      <c r="AO33" s="447" t="e">
        <f ca="1">CheckLength(IF($B$2="mil",1,0.0254)*1250, IF($B$2="mil",1,0.0254)*125-L33, IF($B$2="mil",1,0.0254)*150-N33, M33,L33,N33)</f>
        <v>#NAME?</v>
      </c>
      <c r="AP33" s="447" t="e">
        <f ca="1">CheckLength2(IF($B$2="mil",1,0.0254)*1400,$M33,$N33,0)</f>
        <v>#NAME?</v>
      </c>
      <c r="AQ33" s="447" t="e">
        <f>IF(AND($P33&gt;=IF($B$2="mil",1,0.0254)*500, $P33&lt;=IF($B$2="mil",1,0.0254)*4000),"Pass",IF($B$2="mil",1,0.0254)*4000-$P33)</f>
        <v>#REF!</v>
      </c>
      <c r="AR33" s="447" t="e">
        <f ca="1">IF(AND($Q33&gt;=IF($B$2="mil",1,0.0254)*500, $Q33&lt;=IF($B$2="mil",1,0.0254)*4500),"Pass",IF($B$2="mil",1,0.0254)*4500-$Q33)</f>
        <v>#REF!</v>
      </c>
      <c r="AS33" s="447" t="e">
        <f>IF(AND($Y33&gt;=IF($B$2="mil",1,0.0254)*500, $Y33&lt;=IF($B$2="mil",1,0.0254)*6250),"Pass",IF($B$2="mil",1,0.0254)*6250-$Y33)</f>
        <v>#REF!</v>
      </c>
      <c r="AT33" s="447" t="e">
        <f ca="1">IF(AND($Z33&gt;=IF($B$2="mil",1,0.0254)*500, $Z33&lt;=IF($B$2="mil",1,0.0254)*6000),"Pass",IF($B$2="mil",1,0.0254)*6000-$Z33)</f>
        <v>#REF!</v>
      </c>
      <c r="AU33" s="18"/>
      <c r="AV33" s="2" t="e">
        <f ca="1">IF(AND(AI33="Pass",AR33="Pass",AK33="Pass",AJ33="Pass",AQ33="Pass",V33="Pass",W33="Pass",AO33="Pass",AP33="Pass",AN33="Pass",AM33="Pass",AL33="Pass",AG33="Pass",AH33="Pass",AS33="Pass",AT33="Pass",AD33="Pass",AE33="Pass"),"Pass","Fail")</f>
        <v>#REF!</v>
      </c>
    </row>
    <row r="34" spans="1:58" s="2" customFormat="1" x14ac:dyDescent="0.2">
      <c r="A34" s="6" t="s">
        <v>297</v>
      </c>
      <c r="B34" s="558"/>
      <c r="C34" s="559"/>
      <c r="D34" s="8"/>
      <c r="E34" s="258"/>
      <c r="F34" s="258"/>
      <c r="G34" s="258"/>
      <c r="H34" s="258"/>
      <c r="I34" s="258"/>
      <c r="J34" s="262"/>
      <c r="K34" s="8"/>
      <c r="L34" s="262"/>
      <c r="M34" s="262"/>
      <c r="N34" s="262"/>
      <c r="O34" s="8"/>
      <c r="P34" s="7"/>
      <c r="Q34" s="42"/>
      <c r="R34" s="8"/>
      <c r="S34" s="8"/>
      <c r="T34" s="8"/>
      <c r="U34" s="8"/>
      <c r="V34" s="8"/>
      <c r="W34" s="8"/>
      <c r="X34" s="8"/>
      <c r="Y34" s="7"/>
      <c r="Z34" s="42"/>
      <c r="AA34" s="8"/>
      <c r="AB34" s="13"/>
      <c r="AC34" s="8"/>
      <c r="AD34" s="13"/>
      <c r="AE34" s="13"/>
      <c r="AF34" s="8"/>
      <c r="AG34" s="13"/>
      <c r="AH34" s="13"/>
      <c r="AI34" s="13"/>
      <c r="AJ34" s="13"/>
      <c r="AK34" s="13"/>
      <c r="AL34" s="8"/>
      <c r="AM34" s="8"/>
      <c r="AN34" s="8"/>
      <c r="AO34" s="8"/>
      <c r="AP34" s="8"/>
      <c r="AQ34" s="8"/>
      <c r="AR34" s="8"/>
      <c r="AS34" s="8"/>
      <c r="AT34" s="8"/>
      <c r="AU34" s="10"/>
    </row>
    <row r="35" spans="1:58" s="2" customFormat="1" x14ac:dyDescent="0.2">
      <c r="A35" s="579" t="s">
        <v>72</v>
      </c>
      <c r="B35" s="580"/>
      <c r="C35" s="574"/>
      <c r="D35" s="44"/>
      <c r="E35" s="259"/>
      <c r="F35" s="259"/>
      <c r="G35" s="259"/>
      <c r="H35" s="259"/>
      <c r="I35" s="259"/>
      <c r="J35" s="263"/>
      <c r="K35" s="43"/>
      <c r="L35" s="263"/>
      <c r="M35" s="263"/>
      <c r="N35" s="263"/>
      <c r="O35" s="43"/>
      <c r="P35" s="67"/>
      <c r="Q35" s="54"/>
      <c r="R35" s="485"/>
      <c r="S35" s="145"/>
      <c r="T35" s="486"/>
      <c r="U35" s="44"/>
      <c r="V35" s="54"/>
      <c r="W35" s="54"/>
      <c r="X35" s="485"/>
      <c r="Y35" s="67"/>
      <c r="Z35" s="485" t="s">
        <v>273</v>
      </c>
      <c r="AA35" s="487" t="e">
        <f>MIN('DDR2 Clocks - 4L'!$O$17:$O$18)</f>
        <v>#REF!</v>
      </c>
      <c r="AB35" s="486" t="e">
        <f>MAX('DDR2 Clocks - 4L'!$O$17:$O$18)</f>
        <v>#REF!</v>
      </c>
      <c r="AC35" s="54"/>
      <c r="AD35" s="54"/>
      <c r="AE35" s="54"/>
      <c r="AF35" s="485"/>
      <c r="AG35" s="54"/>
      <c r="AH35" s="54"/>
      <c r="AI35" s="54"/>
      <c r="AJ35" s="43"/>
      <c r="AK35" s="43"/>
      <c r="AL35" s="43"/>
      <c r="AM35" s="43"/>
      <c r="AN35" s="43"/>
      <c r="AO35" s="43"/>
      <c r="AP35" s="43"/>
      <c r="AQ35" s="43"/>
      <c r="AR35" s="43"/>
      <c r="AS35" s="43"/>
      <c r="AT35" s="43"/>
      <c r="AU35" s="48"/>
    </row>
    <row r="36" spans="1:58" s="2" customFormat="1" x14ac:dyDescent="0.2">
      <c r="A36" s="6" t="s">
        <v>298</v>
      </c>
      <c r="B36" s="583"/>
      <c r="C36" s="575"/>
      <c r="D36" s="51"/>
      <c r="E36" s="260"/>
      <c r="F36" s="260"/>
      <c r="G36" s="260"/>
      <c r="H36" s="260"/>
      <c r="I36" s="260"/>
      <c r="J36" s="264"/>
      <c r="K36" s="45"/>
      <c r="L36" s="264"/>
      <c r="M36" s="264"/>
      <c r="N36" s="264"/>
      <c r="O36" s="45"/>
      <c r="P36" s="45"/>
      <c r="Q36" s="45"/>
      <c r="R36" s="45"/>
      <c r="S36" s="45"/>
      <c r="T36" s="55"/>
      <c r="U36" s="45"/>
      <c r="V36" s="55"/>
      <c r="W36" s="55"/>
      <c r="X36" s="55"/>
      <c r="Y36" s="45"/>
      <c r="Z36" s="45"/>
      <c r="AA36" s="55"/>
      <c r="AB36" s="56"/>
      <c r="AC36" s="55"/>
      <c r="AD36" s="45"/>
      <c r="AE36" s="45"/>
      <c r="AF36" s="55"/>
      <c r="AG36" s="45"/>
      <c r="AH36" s="45"/>
      <c r="AI36" s="45"/>
      <c r="AJ36" s="55"/>
      <c r="AK36" s="55"/>
      <c r="AL36" s="55"/>
      <c r="AM36" s="55"/>
      <c r="AN36" s="55"/>
      <c r="AO36" s="55"/>
      <c r="AP36" s="55"/>
      <c r="AQ36" s="55"/>
      <c r="AR36" s="55"/>
      <c r="AS36" s="55"/>
      <c r="AT36" s="55"/>
      <c r="AU36" s="57"/>
    </row>
    <row r="37" spans="1:58" s="2" customFormat="1" x14ac:dyDescent="0.2">
      <c r="A37" s="578" t="e">
        <f ca="1">Assign1x8(#REF!,"Name")</f>
        <v>#NAME?</v>
      </c>
      <c r="B37" s="578" t="e">
        <f ca="1">Assign1x8(#REF!,"Ball")</f>
        <v>#NAME?</v>
      </c>
      <c r="C37" s="578" t="e">
        <f ca="1">Assign1x8(#REF!,"Len")</f>
        <v>#NAME?</v>
      </c>
      <c r="D37" s="16"/>
      <c r="E37" s="17">
        <v>29.7</v>
      </c>
      <c r="F37" s="17">
        <v>0</v>
      </c>
      <c r="G37" s="271">
        <v>2210</v>
      </c>
      <c r="H37" s="271">
        <v>65</v>
      </c>
      <c r="I37" s="17">
        <v>0</v>
      </c>
      <c r="J37" s="271">
        <v>47.5</v>
      </c>
      <c r="K37" s="17">
        <v>40</v>
      </c>
      <c r="L37" s="271">
        <v>112.71</v>
      </c>
      <c r="M37" s="271">
        <v>799.27</v>
      </c>
      <c r="N37" s="271">
        <v>330</v>
      </c>
      <c r="O37" s="58"/>
      <c r="P37" s="441">
        <f xml:space="preserve"> E37+F37+G37+H37</f>
        <v>2304.6999999999998</v>
      </c>
      <c r="Q37" s="441" t="e">
        <f ca="1">P37+IF($B$2="mil",1,0.0254)*C37</f>
        <v>#REF!</v>
      </c>
      <c r="R37" s="533"/>
      <c r="S37" s="441" t="e">
        <f>MAX(S$5:T$5)+IF($B$2="mil",1,0.0254)*DDR2Specs!$B$2</f>
        <v>#REF!</v>
      </c>
      <c r="T37" s="441" t="e">
        <f>MIN(S$5:T$5)+IF($B$2="mil",1,0.0254)*DDR2Specs!$C$2</f>
        <v>#REF!</v>
      </c>
      <c r="U37" s="533"/>
      <c r="V37" s="534" t="e">
        <f ca="1">IF($Q37&lt;$S37,$S37-$Q37,"Pass")</f>
        <v>#REF!</v>
      </c>
      <c r="W37" s="447" t="e">
        <f ca="1">IF($Q37&gt;$T37,$Q37-$T37,"Pass")</f>
        <v>#REF!</v>
      </c>
      <c r="X37" s="18"/>
      <c r="Y37" s="441">
        <f>SUM(E37:G37,I37:N37)</f>
        <v>3569.18</v>
      </c>
      <c r="Z37" s="441" t="e">
        <f ca="1">Y37+IF($B$2="mil",1,0.0254)*$C37</f>
        <v>#REF!</v>
      </c>
      <c r="AA37" s="441" t="e">
        <f>MAX(AA$35:AB$35)+IF($B$2="mil",1,0.0254)*DDR2Specs!$E$2</f>
        <v>#REF!</v>
      </c>
      <c r="AB37" s="441" t="e">
        <f>MIN(AA$35:AB$35)+IF($B$2="mil",1,0.0254)*DDR2Specs!$F$2</f>
        <v>#REF!</v>
      </c>
      <c r="AC37" s="18"/>
      <c r="AD37" s="534" t="e">
        <f ca="1">IF($Z37&lt;$AA37,$AA37-$Z37,"Pass")</f>
        <v>#REF!</v>
      </c>
      <c r="AE37" s="447" t="e">
        <f ca="1">IF($Z37&gt;$AB37,$Z37-$AB37,"Pass")</f>
        <v>#REF!</v>
      </c>
      <c r="AF37" s="18"/>
      <c r="AG37" s="447" t="e">
        <f ca="1">IF((ABS($Q37-$Q38)&lt;=IF($B$2="mil",1,0.0254)*5),"Pass",ABS($Q37-$Q38))</f>
        <v>#REF!</v>
      </c>
      <c r="AH37" s="447" t="e">
        <f ca="1">IF((ABS($Z37-$Z38)&lt;=IF($B$2="mil",1,0.0254)*5),"Pass",ABS($Z37-$Z38))</f>
        <v>#REF!</v>
      </c>
      <c r="AI37" s="447" t="e">
        <f>IF($E37&lt;=IF($B$2="mil",1,0.0254)*50,"Pass",IF($B$2="mil",1,0.0254)*50-$E37)</f>
        <v>#REF!</v>
      </c>
      <c r="AJ37" s="447" t="e">
        <f>IF($F37&lt;=IF($B$2="mil",1,0.0254)*500,"Pass",IF($B$2="mil",1,0.0254)*500-$F37)</f>
        <v>#REF!</v>
      </c>
      <c r="AK37" s="447" t="e">
        <f>IF($H37&lt;=IF($B$2="mil",1,0.0254)*250,"Pass",IF($B$2="mil",1,0.0254)*250-$H37)</f>
        <v>#REF!</v>
      </c>
      <c r="AL37" s="447" t="e">
        <f ca="1">CheckLength(IF($B$2="mil",1,0.0254)*1125, IF($B$2="mil",1,0.0254)*125-J37, 0, I37,J37,0)</f>
        <v>#NAME?</v>
      </c>
      <c r="AM37" s="447" t="e">
        <f>IF($J37&lt;=IF($B$2="mil",1,0.0254)*125,"Pass",IF($B$2="mil",1,0.0254)*125-$J37)</f>
        <v>#REF!</v>
      </c>
      <c r="AN37" s="447" t="e">
        <f>IF($L37&lt;=IF($B$2="mil",1,0.0254)*125,"Pass",IF($B$2="mil",1,0.0254)*125-$L37)</f>
        <v>#REF!</v>
      </c>
      <c r="AO37" s="447" t="e">
        <f ca="1">CheckLength(IF($B$2="mil",1,0.0254)*1250, IF($B$2="mil",1,0.0254)*125-L37, IF($B$2="mil",1,0.0254)*150-N37, M37,L37,N37)</f>
        <v>#NAME?</v>
      </c>
      <c r="AP37" s="447" t="e">
        <f ca="1">CheckLength2(IF($B$2="mil",1,0.0254)*1400,$M37,$N37,0)</f>
        <v>#NAME?</v>
      </c>
      <c r="AQ37" s="447" t="e">
        <f>IF(AND($P37&gt;=IF($B$2="mil",1,0.0254)*500, $P37&lt;=IF($B$2="mil",1,0.0254)*4000),"Pass",IF($B$2="mil",1,0.0254)*4000-$P37)</f>
        <v>#REF!</v>
      </c>
      <c r="AR37" s="447" t="e">
        <f ca="1">IF(AND($Q37&gt;=IF($B$2="mil",1,0.0254)*500, $Q37&lt;=IF($B$2="mil",1,0.0254)*4500),"Pass",IF($B$2="mil",1,0.0254)*4500-$Q37)</f>
        <v>#REF!</v>
      </c>
      <c r="AS37" s="447" t="e">
        <f>IF(AND($Y37&gt;=IF($B$2="mil",1,0.0254)*500, $Y37&lt;=IF($B$2="mil",1,0.0254)*6250),"Pass",IF($B$2="mil",1,0.0254)*6250-$Y37)</f>
        <v>#REF!</v>
      </c>
      <c r="AT37" s="447" t="e">
        <f ca="1">IF(AND($Z37&gt;=IF($B$2="mil",1,0.0254)*500, $Z37&lt;=IF($B$2="mil",1,0.0254)*6000),"Pass",IF($B$2="mil",1,0.0254)*6000-$Z37)</f>
        <v>#REF!</v>
      </c>
      <c r="AU37" s="18"/>
      <c r="AV37" s="2" t="e">
        <f ca="1">IF(AND(AI37="Pass",AR37="Pass",AK37="Pass",AJ37="Pass",AQ37="Pass",V37="Pass",W37="Pass",AO37="Pass",AP37="Pass",AN37="Pass",AM37="Pass",AL37="Pass",AG37="Pass",AH37="Pass",AS37="Pass",AT37="Pass",AD37="Pass",AE37="Pass"),"Pass","Fail")</f>
        <v>#REF!</v>
      </c>
    </row>
    <row r="38" spans="1:58" s="2" customFormat="1" x14ac:dyDescent="0.2">
      <c r="A38" s="578" t="e">
        <f ca="1">Assign1x8(#REF!,"Name_P")</f>
        <v>#NAME?</v>
      </c>
      <c r="B38" s="578" t="e">
        <f ca="1">Assign1x8(#REF!,"Ball_P")</f>
        <v>#NAME?</v>
      </c>
      <c r="C38" s="578" t="e">
        <f ca="1">Assign1x8(#REF!,"Len_P")</f>
        <v>#NAME?</v>
      </c>
      <c r="D38" s="16"/>
      <c r="E38" s="17">
        <v>29.7</v>
      </c>
      <c r="F38" s="17">
        <v>0</v>
      </c>
      <c r="G38" s="271">
        <v>2190</v>
      </c>
      <c r="H38" s="271">
        <v>85.59</v>
      </c>
      <c r="I38" s="17">
        <v>0</v>
      </c>
      <c r="J38" s="271">
        <v>99.07</v>
      </c>
      <c r="K38" s="17">
        <v>40</v>
      </c>
      <c r="L38" s="271">
        <v>95.68</v>
      </c>
      <c r="M38" s="271">
        <v>782.45</v>
      </c>
      <c r="N38" s="271">
        <v>330</v>
      </c>
      <c r="O38" s="58"/>
      <c r="P38" s="441">
        <f xml:space="preserve"> E38+F38+G38+H38</f>
        <v>2305.29</v>
      </c>
      <c r="Q38" s="441" t="e">
        <f ca="1">P38+IF($B$2="mil",1,0.0254)*C38</f>
        <v>#REF!</v>
      </c>
      <c r="R38" s="533"/>
      <c r="S38" s="441" t="e">
        <f>MAX(S$5:T$5)+IF($B$2="mil",1,0.0254)*DDR2Specs!$B$2</f>
        <v>#REF!</v>
      </c>
      <c r="T38" s="441" t="e">
        <f>MIN(S$5:T$5)+IF($B$2="mil",1,0.0254)*DDR2Specs!$C$2</f>
        <v>#REF!</v>
      </c>
      <c r="U38" s="533"/>
      <c r="V38" s="534" t="e">
        <f ca="1">IF($Q38&lt;$S38,$S38-$Q38,"Pass")</f>
        <v>#REF!</v>
      </c>
      <c r="W38" s="447" t="e">
        <f ca="1">IF($Q38&gt;$T38,$Q38-$T38,"Pass")</f>
        <v>#REF!</v>
      </c>
      <c r="X38" s="18"/>
      <c r="Y38" s="441">
        <f>SUM(E38:G38,I38:N38)</f>
        <v>3566.8999999999996</v>
      </c>
      <c r="Z38" s="441" t="e">
        <f ca="1">Y38+IF($B$2="mil",1,0.0254)*$C38</f>
        <v>#REF!</v>
      </c>
      <c r="AA38" s="441" t="e">
        <f>MAX(AA$35:AB$35)+IF($B$2="mil",1,0.0254)*DDR2Specs!$E$2</f>
        <v>#REF!</v>
      </c>
      <c r="AB38" s="441" t="e">
        <f>MIN(AA$35:AB$35)+IF($B$2="mil",1,0.0254)*DDR2Specs!$F$2</f>
        <v>#REF!</v>
      </c>
      <c r="AC38" s="18"/>
      <c r="AD38" s="534" t="e">
        <f ca="1">IF($Z38&lt;$AA38,$AA38-$Z38,"Pass")</f>
        <v>#REF!</v>
      </c>
      <c r="AE38" s="447" t="e">
        <f ca="1">IF($Z38&gt;$AB38,$Z38-$AB38,"Pass")</f>
        <v>#REF!</v>
      </c>
      <c r="AF38" s="18"/>
      <c r="AG38" s="447" t="e">
        <f ca="1">IF((ABS($Q38-$Q37)&lt;=IF($B$2="mil",1,0.0254)*5),"Pass",ABS($Q38-$Q37))</f>
        <v>#REF!</v>
      </c>
      <c r="AH38" s="447" t="e">
        <f ca="1">IF((ABS($Z38-$Z37)&lt;=IF($B$2="mil",1,0.0254)*5),"Pass",ABS($Z38-$Z37))</f>
        <v>#REF!</v>
      </c>
      <c r="AI38" s="447" t="e">
        <f>IF($E38&lt;=IF($B$2="mil",1,0.0254)*50,"Pass",IF($B$2="mil",1,0.0254)*50-$E38)</f>
        <v>#REF!</v>
      </c>
      <c r="AJ38" s="447" t="e">
        <f>IF($F38&lt;=IF($B$2="mil",1,0.0254)*500,"Pass",IF($B$2="mil",1,0.0254)*500-$F38)</f>
        <v>#REF!</v>
      </c>
      <c r="AK38" s="447" t="e">
        <f>IF($H38&lt;=IF($B$2="mil",1,0.0254)*250,"Pass",IF($B$2="mil",1,0.0254)*250-$H38)</f>
        <v>#REF!</v>
      </c>
      <c r="AL38" s="447" t="e">
        <f ca="1">CheckLength(IF($B$2="mil",1,0.0254)*1125, IF($B$2="mil",1,0.0254)*125-J38, 0, I38,J38,0)</f>
        <v>#NAME?</v>
      </c>
      <c r="AM38" s="447" t="e">
        <f>IF($J38&lt;=IF($B$2="mil",1,0.0254)*125,"Pass",IF($B$2="mil",1,0.0254)*125-$J38)</f>
        <v>#REF!</v>
      </c>
      <c r="AN38" s="447" t="e">
        <f>IF($L38&lt;=IF($B$2="mil",1,0.0254)*125,"Pass",IF($B$2="mil",1,0.0254)*125-$L38)</f>
        <v>#REF!</v>
      </c>
      <c r="AO38" s="447" t="e">
        <f ca="1">CheckLength(IF($B$2="mil",1,0.0254)*1250, IF($B$2="mil",1,0.0254)*125-L38, IF($B$2="mil",1,0.0254)*150-N38, M38,L38,N38)</f>
        <v>#NAME?</v>
      </c>
      <c r="AP38" s="447" t="e">
        <f ca="1">CheckLength2(IF($B$2="mil",1,0.0254)*1400,$M38,$N38,0)</f>
        <v>#NAME?</v>
      </c>
      <c r="AQ38" s="447" t="e">
        <f>IF(AND($P38&gt;=IF($B$2="mil",1,0.0254)*500, $P38&lt;=IF($B$2="mil",1,0.0254)*4000),"Pass",IF($B$2="mil",1,0.0254)*4000-$P38)</f>
        <v>#REF!</v>
      </c>
      <c r="AR38" s="447" t="e">
        <f ca="1">IF(AND($Q38&gt;=IF($B$2="mil",1,0.0254)*500, $Q38&lt;=IF($B$2="mil",1,0.0254)*4500),"Pass",IF($B$2="mil",1,0.0254)*4500-$Q38)</f>
        <v>#REF!</v>
      </c>
      <c r="AS38" s="447" t="e">
        <f>IF(AND($Y38&gt;=IF($B$2="mil",1,0.0254)*500, $Y38&lt;=IF($B$2="mil",1,0.0254)*6250),"Pass",IF($B$2="mil",1,0.0254)*6250-$Y38)</f>
        <v>#REF!</v>
      </c>
      <c r="AT38" s="447" t="e">
        <f ca="1">IF(AND($Z38&gt;=IF($B$2="mil",1,0.0254)*500, $Z38&lt;=IF($B$2="mil",1,0.0254)*6000),"Pass",IF($B$2="mil",1,0.0254)*6000-$Z38)</f>
        <v>#REF!</v>
      </c>
      <c r="AU38" s="18"/>
      <c r="AV38" s="2" t="e">
        <f ca="1">IF(AND(AI38="Pass",AR38="Pass",AK38="Pass",AJ38="Pass",AQ38="Pass",V38="Pass",W38="Pass",AO38="Pass",AP38="Pass",AN38="Pass",AM38="Pass",AL38="Pass",AG38="Pass",AH38="Pass",AS38="Pass",AT38="Pass",AD38="Pass",AE38="Pass"),"Pass","Fail")</f>
        <v>#REF!</v>
      </c>
    </row>
    <row r="39" spans="1:58" s="2" customFormat="1" x14ac:dyDescent="0.2">
      <c r="A39" s="6" t="s">
        <v>297</v>
      </c>
      <c r="B39" s="558"/>
      <c r="C39" s="559"/>
      <c r="D39" s="8"/>
      <c r="E39" s="258"/>
      <c r="F39" s="258"/>
      <c r="G39" s="258"/>
      <c r="H39" s="258"/>
      <c r="I39" s="258"/>
      <c r="J39" s="262"/>
      <c r="K39" s="8"/>
      <c r="L39" s="262"/>
      <c r="M39" s="262"/>
      <c r="N39" s="262"/>
      <c r="O39" s="8"/>
      <c r="P39" s="7"/>
      <c r="Q39" s="42"/>
      <c r="R39" s="8"/>
      <c r="S39" s="8"/>
      <c r="T39" s="8"/>
      <c r="U39" s="8"/>
      <c r="V39" s="8"/>
      <c r="W39" s="8"/>
      <c r="X39" s="8"/>
      <c r="Y39" s="7"/>
      <c r="Z39" s="42"/>
      <c r="AA39" s="8"/>
      <c r="AB39" s="13"/>
      <c r="AC39" s="8"/>
      <c r="AD39" s="13"/>
      <c r="AE39" s="13"/>
      <c r="AF39" s="8"/>
      <c r="AG39" s="13"/>
      <c r="AH39" s="13"/>
      <c r="AI39" s="13"/>
      <c r="AJ39" s="13"/>
      <c r="AK39" s="13"/>
      <c r="AL39" s="8"/>
      <c r="AM39" s="8"/>
      <c r="AN39" s="8"/>
      <c r="AO39" s="8"/>
      <c r="AP39" s="8"/>
      <c r="AQ39" s="8"/>
      <c r="AR39" s="8"/>
      <c r="AS39" s="8"/>
      <c r="AT39" s="8"/>
      <c r="AU39" s="10"/>
    </row>
    <row r="40" spans="1:58" s="2" customFormat="1" x14ac:dyDescent="0.2">
      <c r="A40" s="579" t="s">
        <v>72</v>
      </c>
      <c r="B40" s="580"/>
      <c r="C40" s="574"/>
      <c r="D40" s="44"/>
      <c r="E40" s="259"/>
      <c r="F40" s="259"/>
      <c r="G40" s="259"/>
      <c r="H40" s="259"/>
      <c r="I40" s="259"/>
      <c r="J40" s="263"/>
      <c r="K40" s="43"/>
      <c r="L40" s="263"/>
      <c r="M40" s="263"/>
      <c r="N40" s="263"/>
      <c r="O40" s="43"/>
      <c r="P40" s="67"/>
      <c r="Q40" s="54"/>
      <c r="R40" s="485"/>
      <c r="S40" s="145"/>
      <c r="T40" s="486"/>
      <c r="U40" s="44"/>
      <c r="V40" s="54"/>
      <c r="W40" s="54"/>
      <c r="X40" s="485"/>
      <c r="Y40" s="67"/>
      <c r="Z40" s="485" t="s">
        <v>335</v>
      </c>
      <c r="AA40" s="487" t="e">
        <f>MIN('DDR2 Clocks - 4L'!$O$19:$O$20)</f>
        <v>#REF!</v>
      </c>
      <c r="AB40" s="486" t="e">
        <f>MAX('DDR2 Clocks - 4L'!$O$19:$O$20)</f>
        <v>#REF!</v>
      </c>
      <c r="AC40" s="54"/>
      <c r="AD40" s="54"/>
      <c r="AE40" s="54"/>
      <c r="AF40" s="485"/>
      <c r="AG40" s="54"/>
      <c r="AH40" s="54"/>
      <c r="AI40" s="54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8"/>
    </row>
    <row r="41" spans="1:58" s="2" customFormat="1" x14ac:dyDescent="0.2">
      <c r="A41" s="6" t="s">
        <v>298</v>
      </c>
      <c r="B41" s="581"/>
      <c r="C41" s="575"/>
      <c r="D41" s="51"/>
      <c r="E41" s="260"/>
      <c r="F41" s="260"/>
      <c r="G41" s="260"/>
      <c r="H41" s="260"/>
      <c r="I41" s="260"/>
      <c r="J41" s="264"/>
      <c r="K41" s="45"/>
      <c r="L41" s="264"/>
      <c r="M41" s="264"/>
      <c r="N41" s="264"/>
      <c r="O41" s="45"/>
      <c r="P41" s="45"/>
      <c r="Q41" s="45"/>
      <c r="R41" s="45"/>
      <c r="S41" s="45"/>
      <c r="T41" s="55"/>
      <c r="U41" s="45"/>
      <c r="V41" s="55"/>
      <c r="W41" s="55"/>
      <c r="X41" s="55"/>
      <c r="Y41" s="45"/>
      <c r="Z41" s="45"/>
      <c r="AA41" s="55"/>
      <c r="AB41" s="56"/>
      <c r="AC41" s="55"/>
      <c r="AD41" s="45"/>
      <c r="AE41" s="45"/>
      <c r="AF41" s="55"/>
      <c r="AG41" s="45"/>
      <c r="AH41" s="45"/>
      <c r="AI41" s="45"/>
      <c r="AJ41" s="55"/>
      <c r="AK41" s="55"/>
      <c r="AL41" s="55"/>
      <c r="AM41" s="55"/>
      <c r="AN41" s="55"/>
      <c r="AO41" s="55"/>
      <c r="AP41" s="55"/>
      <c r="AQ41" s="55"/>
      <c r="AR41" s="55"/>
      <c r="AS41" s="55"/>
      <c r="AT41" s="55"/>
      <c r="AU41" s="57"/>
    </row>
    <row r="42" spans="1:58" s="2" customFormat="1" x14ac:dyDescent="0.2">
      <c r="A42" s="578" t="e">
        <f ca="1">Assign1x8(#REF!,"Name")</f>
        <v>#NAME?</v>
      </c>
      <c r="B42" s="578" t="e">
        <f ca="1">Assign1x8(#REF!,"Ball")</f>
        <v>#NAME?</v>
      </c>
      <c r="C42" s="578" t="e">
        <f ca="1">Assign1x8(#REF!,"Len")</f>
        <v>#NAME?</v>
      </c>
      <c r="D42" s="16"/>
      <c r="E42" s="17">
        <v>29.7</v>
      </c>
      <c r="F42" s="17">
        <v>0</v>
      </c>
      <c r="G42" s="271">
        <v>2355</v>
      </c>
      <c r="H42" s="271">
        <v>57</v>
      </c>
      <c r="I42" s="17">
        <v>0</v>
      </c>
      <c r="J42" s="271">
        <v>56.64</v>
      </c>
      <c r="K42" s="17">
        <v>40</v>
      </c>
      <c r="L42" s="271">
        <v>125</v>
      </c>
      <c r="M42" s="271">
        <v>726.29</v>
      </c>
      <c r="N42" s="271">
        <v>350</v>
      </c>
      <c r="O42" s="58"/>
      <c r="P42" s="441">
        <f xml:space="preserve"> E42+F42+G42+H42</f>
        <v>2441.6999999999998</v>
      </c>
      <c r="Q42" s="441" t="e">
        <f ca="1">P42+IF($B$2="mil",1,0.0254)*C42</f>
        <v>#REF!</v>
      </c>
      <c r="R42" s="533"/>
      <c r="S42" s="441" t="e">
        <f>MAX(S$5:T$5)+IF($B$2="mil",1,0.0254)*DDR2Specs!$B$2</f>
        <v>#REF!</v>
      </c>
      <c r="T42" s="441" t="e">
        <f>MIN(S$5:T$5)+IF($B$2="mil",1,0.0254)*DDR2Specs!$C$2</f>
        <v>#REF!</v>
      </c>
      <c r="U42" s="533"/>
      <c r="V42" s="534" t="e">
        <f ca="1">IF($Q42&lt;$S42,$S42-$Q42,"Pass")</f>
        <v>#REF!</v>
      </c>
      <c r="W42" s="447" t="e">
        <f ca="1">IF($Q42&gt;$T42,$Q42-$T42,"Pass")</f>
        <v>#REF!</v>
      </c>
      <c r="X42" s="18"/>
      <c r="Y42" s="441">
        <f>SUM(E42:G42,I42:N42)</f>
        <v>3682.6299999999997</v>
      </c>
      <c r="Z42" s="441" t="e">
        <f ca="1">Y42+IF($B$2="mil",1,0.0254)*$C42</f>
        <v>#REF!</v>
      </c>
      <c r="AA42" s="441" t="e">
        <f>MAX(AA$40:AB$40)+IF($B$2="mil",1,0.0254)*DDR2Specs!$E$2</f>
        <v>#REF!</v>
      </c>
      <c r="AB42" s="441" t="e">
        <f>MIN(AA$40:AB$40)+IF($B$2="mil",1,0.0254)*DDR2Specs!$F$2</f>
        <v>#REF!</v>
      </c>
      <c r="AC42" s="18"/>
      <c r="AD42" s="534" t="e">
        <f ca="1">IF($Z42&lt;$AA42,$AA42-$Z42,"Pass")</f>
        <v>#REF!</v>
      </c>
      <c r="AE42" s="447" t="e">
        <f ca="1">IF($Z42&gt;$AB42,$Z42-$AB42,"Pass")</f>
        <v>#REF!</v>
      </c>
      <c r="AF42" s="18"/>
      <c r="AG42" s="447" t="e">
        <f ca="1">IF((ABS($Q42-$Q43)&lt;=IF($B$2="mil",1,0.0254)*5),"Pass",ABS($Q42-$Q43))</f>
        <v>#REF!</v>
      </c>
      <c r="AH42" s="447" t="e">
        <f ca="1">IF((ABS($Z42-$Z43)&lt;=IF($B$2="mil",1,0.0254)*5),"Pass",ABS($Z42-$Z43))</f>
        <v>#REF!</v>
      </c>
      <c r="AI42" s="447" t="e">
        <f>IF($E42&lt;=IF($B$2="mil",1,0.0254)*50,"Pass",IF($B$2="mil",1,0.0254)*50-$E42)</f>
        <v>#REF!</v>
      </c>
      <c r="AJ42" s="447" t="e">
        <f>IF($F42&lt;=IF($B$2="mil",1,0.0254)*500,"Pass",IF($B$2="mil",1,0.0254)*500-$F42)</f>
        <v>#REF!</v>
      </c>
      <c r="AK42" s="447" t="e">
        <f>IF($H42&lt;=IF($B$2="mil",1,0.0254)*250,"Pass",IF($B$2="mil",1,0.0254)*250-$H42)</f>
        <v>#REF!</v>
      </c>
      <c r="AL42" s="447" t="e">
        <f ca="1">CheckLength(IF($B$2="mil",1,0.0254)*1125, IF($B$2="mil",1,0.0254)*125-J42, 0, I42,J42,0)</f>
        <v>#NAME?</v>
      </c>
      <c r="AM42" s="447" t="e">
        <f>IF($J42&lt;=IF($B$2="mil",1,0.0254)*125,"Pass",IF($B$2="mil",1,0.0254)*125-$J42)</f>
        <v>#REF!</v>
      </c>
      <c r="AN42" s="447" t="e">
        <f>IF($L42&lt;=IF($B$2="mil",1,0.0254)*125,"Pass",IF($B$2="mil",1,0.0254)*125-$L42)</f>
        <v>#REF!</v>
      </c>
      <c r="AO42" s="447" t="e">
        <f ca="1">CheckLength(IF($B$2="mil",1,0.0254)*1250, IF($B$2="mil",1,0.0254)*125-L42, IF($B$2="mil",1,0.0254)*150-N42, M42,L42,N42)</f>
        <v>#NAME?</v>
      </c>
      <c r="AP42" s="447" t="e">
        <f ca="1">CheckLength2(IF($B$2="mil",1,0.0254)*1400,$M42,$N42,0)</f>
        <v>#NAME?</v>
      </c>
      <c r="AQ42" s="447" t="e">
        <f>IF(AND($P42&gt;=IF($B$2="mil",1,0.0254)*500, $P42&lt;=IF($B$2="mil",1,0.0254)*4000),"Pass",IF($B$2="mil",1,0.0254)*4000-$P42)</f>
        <v>#REF!</v>
      </c>
      <c r="AR42" s="447" t="e">
        <f ca="1">IF(AND($Q42&gt;=IF($B$2="mil",1,0.0254)*500, $Q42&lt;=IF($B$2="mil",1,0.0254)*4500),"Pass",IF($B$2="mil",1,0.0254)*4500-$Q42)</f>
        <v>#REF!</v>
      </c>
      <c r="AS42" s="447" t="e">
        <f>IF(AND($Y42&gt;=IF($B$2="mil",1,0.0254)*500, $Y42&lt;=IF($B$2="mil",1,0.0254)*6250),"Pass",IF($B$2="mil",1,0.0254)*6250-$Y42)</f>
        <v>#REF!</v>
      </c>
      <c r="AT42" s="447" t="e">
        <f ca="1">IF(AND($Z42&gt;=IF($B$2="mil",1,0.0254)*500, $Z42&lt;=IF($B$2="mil",1,0.0254)*6000),"Pass",IF($B$2="mil",1,0.0254)*6000-$Z42)</f>
        <v>#REF!</v>
      </c>
      <c r="AU42" s="18"/>
      <c r="AV42" s="2" t="e">
        <f ca="1">IF(AND(AI42="Pass",AR42="Pass",AK42="Pass",AJ42="Pass",AQ42="Pass",V42="Pass",W42="Pass",AO42="Pass",AP42="Pass",AN42="Pass",AM42="Pass",AL42="Pass",AG42="Pass",AH42="Pass",AS42="Pass",AT42="Pass",AD42="Pass",AE42="Pass"),"Pass","Fail")</f>
        <v>#REF!</v>
      </c>
    </row>
    <row r="43" spans="1:58" s="2" customFormat="1" x14ac:dyDescent="0.2">
      <c r="A43" s="578" t="e">
        <f ca="1">Assign1x8(#REF!,"Name_P")</f>
        <v>#NAME?</v>
      </c>
      <c r="B43" s="578" t="e">
        <f ca="1">Assign1x8(#REF!,"Ball_P")</f>
        <v>#NAME?</v>
      </c>
      <c r="C43" s="578" t="e">
        <f ca="1">Assign1x8(#REF!,"Len_P")</f>
        <v>#NAME?</v>
      </c>
      <c r="D43" s="16"/>
      <c r="E43" s="17">
        <v>29.7</v>
      </c>
      <c r="F43" s="17">
        <v>0</v>
      </c>
      <c r="G43" s="271">
        <v>2356</v>
      </c>
      <c r="H43" s="271">
        <v>57</v>
      </c>
      <c r="I43" s="17">
        <v>0</v>
      </c>
      <c r="J43" s="271">
        <v>58.71</v>
      </c>
      <c r="K43" s="17">
        <v>40</v>
      </c>
      <c r="L43" s="271">
        <v>125</v>
      </c>
      <c r="M43" s="271">
        <v>722.79</v>
      </c>
      <c r="N43" s="271">
        <v>350</v>
      </c>
      <c r="O43" s="58"/>
      <c r="P43" s="441">
        <f xml:space="preserve"> E43+F43+G43+H43</f>
        <v>2442.6999999999998</v>
      </c>
      <c r="Q43" s="441" t="e">
        <f ca="1">P43+IF($B$2="mil",1,0.0254)*C43</f>
        <v>#REF!</v>
      </c>
      <c r="R43" s="533"/>
      <c r="S43" s="441" t="e">
        <f>MAX(S$5:T$5)+IF($B$2="mil",1,0.0254)*DDR2Specs!$B$2</f>
        <v>#REF!</v>
      </c>
      <c r="T43" s="441" t="e">
        <f>MIN(S$5:T$5)+IF($B$2="mil",1,0.0254)*DDR2Specs!$C$2</f>
        <v>#REF!</v>
      </c>
      <c r="U43" s="533"/>
      <c r="V43" s="534" t="e">
        <f ca="1">IF($Q43&lt;$S43,$S43-$Q43,"Pass")</f>
        <v>#REF!</v>
      </c>
      <c r="W43" s="447" t="e">
        <f ca="1">IF($Q43&gt;$T43,$Q43-$T43,"Pass")</f>
        <v>#REF!</v>
      </c>
      <c r="X43" s="18"/>
      <c r="Y43" s="441">
        <f>SUM(E43:G43,I43:N43)</f>
        <v>3682.2</v>
      </c>
      <c r="Z43" s="441" t="e">
        <f ca="1">Y43+IF($B$2="mil",1,0.0254)*$C43</f>
        <v>#REF!</v>
      </c>
      <c r="AA43" s="441" t="e">
        <f>MAX(AA$40:AB$40)+IF($B$2="mil",1,0.0254)*DDR2Specs!$E$2</f>
        <v>#REF!</v>
      </c>
      <c r="AB43" s="441" t="e">
        <f>MIN(AA$40:AB$40)+IF($B$2="mil",1,0.0254)*DDR2Specs!$F$2</f>
        <v>#REF!</v>
      </c>
      <c r="AC43" s="18"/>
      <c r="AD43" s="534" t="e">
        <f ca="1">IF($Z43&lt;$AA43,$AA43-$Z43,"Pass")</f>
        <v>#REF!</v>
      </c>
      <c r="AE43" s="447" t="e">
        <f ca="1">IF($Z43&gt;$AB43,$Z43-$AB43,"Pass")</f>
        <v>#REF!</v>
      </c>
      <c r="AF43" s="18"/>
      <c r="AG43" s="447" t="e">
        <f ca="1">IF((ABS($Q43-$Q42)&lt;=IF($B$2="mil",1,0.0254)*5),"Pass",ABS($Q43-$Q42))</f>
        <v>#REF!</v>
      </c>
      <c r="AH43" s="447" t="e">
        <f ca="1">IF((ABS($Z43-$Z42)&lt;=IF($B$2="mil",1,0.0254)*5),"Pass",ABS($Z43-$Z42))</f>
        <v>#REF!</v>
      </c>
      <c r="AI43" s="447" t="e">
        <f>IF($E43&lt;=IF($B$2="mil",1,0.0254)*50,"Pass",IF($B$2="mil",1,0.0254)*50-$E43)</f>
        <v>#REF!</v>
      </c>
      <c r="AJ43" s="447" t="e">
        <f>IF($F43&lt;=IF($B$2="mil",1,0.0254)*500,"Pass",IF($B$2="mil",1,0.0254)*500-$F43)</f>
        <v>#REF!</v>
      </c>
      <c r="AK43" s="447" t="e">
        <f>IF($H43&lt;=IF($B$2="mil",1,0.0254)*250,"Pass",IF($B$2="mil",1,0.0254)*250-$H43)</f>
        <v>#REF!</v>
      </c>
      <c r="AL43" s="447" t="e">
        <f ca="1">CheckLength(IF($B$2="mil",1,0.0254)*1125, IF($B$2="mil",1,0.0254)*125-J43, 0, I43,J43,0)</f>
        <v>#NAME?</v>
      </c>
      <c r="AM43" s="447" t="e">
        <f>IF($J43&lt;=IF($B$2="mil",1,0.0254)*125,"Pass",IF($B$2="mil",1,0.0254)*125-$J43)</f>
        <v>#REF!</v>
      </c>
      <c r="AN43" s="447" t="e">
        <f>IF($L43&lt;=IF($B$2="mil",1,0.0254)*125,"Pass",IF($B$2="mil",1,0.0254)*125-$L43)</f>
        <v>#REF!</v>
      </c>
      <c r="AO43" s="447" t="e">
        <f ca="1">CheckLength(IF($B$2="mil",1,0.0254)*1250, IF($B$2="mil",1,0.0254)*125-L43, IF($B$2="mil",1,0.0254)*150-N43, M43,L43,N43)</f>
        <v>#NAME?</v>
      </c>
      <c r="AP43" s="447" t="e">
        <f ca="1">CheckLength2(IF($B$2="mil",1,0.0254)*1400,$M43,$N43,0)</f>
        <v>#NAME?</v>
      </c>
      <c r="AQ43" s="447" t="e">
        <f>IF(AND($P43&gt;=IF($B$2="mil",1,0.0254)*500, $P43&lt;=IF($B$2="mil",1,0.0254)*4000),"Pass",IF($B$2="mil",1,0.0254)*4000-$P43)</f>
        <v>#REF!</v>
      </c>
      <c r="AR43" s="447" t="e">
        <f ca="1">IF(AND($Q43&gt;=IF($B$2="mil",1,0.0254)*500, $Q43&lt;=IF($B$2="mil",1,0.0254)*4500),"Pass",IF($B$2="mil",1,0.0254)*4500-$Q43)</f>
        <v>#REF!</v>
      </c>
      <c r="AS43" s="447" t="e">
        <f>IF(AND($Y43&gt;=IF($B$2="mil",1,0.0254)*500, $Y43&lt;=IF($B$2="mil",1,0.0254)*6250),"Pass",IF($B$2="mil",1,0.0254)*6250-$Y43)</f>
        <v>#REF!</v>
      </c>
      <c r="AT43" s="447" t="e">
        <f ca="1">IF(AND($Z43&gt;=IF($B$2="mil",1,0.0254)*500, $Z43&lt;=IF($B$2="mil",1,0.0254)*6000),"Pass",IF($B$2="mil",1,0.0254)*6000-$Z43)</f>
        <v>#REF!</v>
      </c>
      <c r="AU43" s="18"/>
      <c r="AV43" s="2" t="e">
        <f ca="1">IF(AND(AI43="Pass",AR43="Pass",AK43="Pass",AJ43="Pass",AQ43="Pass",V43="Pass",W43="Pass",AO43="Pass",AP43="Pass",AN43="Pass",AM43="Pass",AL43="Pass",AG43="Pass",AH43="Pass",AS43="Pass",AT43="Pass",AD43="Pass",AE43="Pass"),"Pass","Fail")</f>
        <v>#REF!</v>
      </c>
    </row>
    <row r="44" spans="1:58" s="2" customFormat="1" x14ac:dyDescent="0.2">
      <c r="A44" s="59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60"/>
      <c r="AU44" s="431"/>
    </row>
    <row r="45" spans="1:58" s="2" customFormat="1" ht="25.5" x14ac:dyDescent="0.35">
      <c r="A45" s="39" t="s">
        <v>57</v>
      </c>
      <c r="B45" s="4"/>
      <c r="C45" s="3"/>
      <c r="D45" s="3"/>
      <c r="E45" s="4"/>
      <c r="F45" s="4"/>
      <c r="G45" s="3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3"/>
      <c r="AB45" s="3"/>
      <c r="AC45" s="4"/>
      <c r="AD45" s="3"/>
      <c r="AE45" s="3"/>
      <c r="AF45" s="4"/>
      <c r="AG45" s="3"/>
      <c r="AH45" s="3"/>
      <c r="AI45" s="3"/>
      <c r="AJ45" s="61"/>
      <c r="AK45" s="61"/>
      <c r="AL45" s="61"/>
      <c r="AM45" s="61"/>
      <c r="AN45" s="61"/>
      <c r="AO45" s="61"/>
      <c r="AP45" s="61"/>
      <c r="AQ45" s="61"/>
      <c r="AR45" s="61"/>
      <c r="AS45" s="61"/>
      <c r="AT45" s="61"/>
      <c r="AU45" s="4"/>
      <c r="AV45" s="4"/>
      <c r="AW45" s="4"/>
      <c r="BF45" s="62"/>
    </row>
    <row r="46" spans="1:58" s="2" customFormat="1" x14ac:dyDescent="0.2">
      <c r="A46" s="4"/>
      <c r="B46" s="3"/>
      <c r="C46" s="3"/>
      <c r="D46" s="3"/>
      <c r="E46" s="4"/>
      <c r="F46" s="4"/>
      <c r="G46" s="3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3"/>
      <c r="AB46" s="3"/>
      <c r="AC46" s="4"/>
      <c r="AD46" s="3"/>
      <c r="AE46" s="3"/>
      <c r="AF46" s="4"/>
      <c r="AG46" s="3"/>
      <c r="AH46" s="3"/>
      <c r="AI46" s="3"/>
      <c r="AJ46" s="61"/>
      <c r="AK46" s="61"/>
      <c r="AL46" s="61"/>
      <c r="AM46" s="61"/>
      <c r="AN46" s="61"/>
      <c r="AO46" s="61"/>
      <c r="AP46" s="61"/>
      <c r="AQ46" s="61"/>
      <c r="AR46" s="61"/>
      <c r="AS46" s="61"/>
      <c r="AT46" s="61"/>
      <c r="AU46" s="4"/>
      <c r="AV46" s="4"/>
      <c r="AW46" s="4"/>
    </row>
    <row r="47" spans="1:58" s="2" customFormat="1" x14ac:dyDescent="0.2">
      <c r="A47" s="4"/>
      <c r="B47" s="4"/>
      <c r="C47" s="3"/>
      <c r="D47" s="3"/>
      <c r="E47" s="64"/>
      <c r="F47" s="4"/>
      <c r="G47" s="3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3"/>
      <c r="AB47" s="3"/>
      <c r="AC47" s="4"/>
      <c r="AD47" s="3"/>
      <c r="AE47" s="3"/>
      <c r="AF47" s="4"/>
      <c r="AG47" s="3"/>
      <c r="AH47" s="3"/>
      <c r="AI47" s="3"/>
      <c r="AJ47" s="65"/>
      <c r="AK47" s="3"/>
      <c r="AL47" s="3"/>
      <c r="AM47" s="3"/>
      <c r="AN47" s="3"/>
      <c r="AO47" s="3"/>
      <c r="AP47" s="3"/>
      <c r="AQ47" s="3"/>
      <c r="AR47" s="3"/>
      <c r="AS47" s="3"/>
      <c r="AT47" s="63"/>
      <c r="AU47" s="4"/>
      <c r="AV47" s="64"/>
      <c r="AW47" s="64"/>
      <c r="AZ47" s="65"/>
    </row>
    <row r="48" spans="1:58" s="2" customFormat="1" x14ac:dyDescent="0.2">
      <c r="A48" s="4"/>
      <c r="B48" s="4"/>
      <c r="C48" s="3"/>
      <c r="D48" s="3"/>
      <c r="E48" s="4"/>
      <c r="F48" s="4"/>
      <c r="G48" s="3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3"/>
      <c r="AB48" s="3"/>
      <c r="AC48" s="4"/>
      <c r="AD48" s="3"/>
      <c r="AE48" s="3"/>
      <c r="AF48" s="4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4"/>
      <c r="AV48" s="4"/>
      <c r="AW48" s="4"/>
    </row>
    <row r="49" spans="1:49" s="2" customFormat="1" x14ac:dyDescent="0.2">
      <c r="A49" s="4"/>
      <c r="B49" s="4"/>
      <c r="C49" s="3"/>
      <c r="D49" s="3"/>
      <c r="E49" s="4"/>
      <c r="F49" s="4"/>
      <c r="G49" s="3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3"/>
      <c r="AB49" s="3" t="s">
        <v>155</v>
      </c>
      <c r="AC49" s="4"/>
      <c r="AD49" s="3"/>
      <c r="AE49" s="3"/>
      <c r="AF49" s="4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4"/>
      <c r="AV49" s="4"/>
      <c r="AW49" s="4"/>
    </row>
    <row r="50" spans="1:49" s="2" customFormat="1" x14ac:dyDescent="0.2">
      <c r="A50" s="4"/>
      <c r="B50" s="4"/>
      <c r="C50" s="3"/>
      <c r="D50" s="3"/>
      <c r="E50" s="4"/>
      <c r="F50" s="4"/>
      <c r="G50" s="3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3"/>
      <c r="AB50" s="3"/>
      <c r="AC50" s="4"/>
      <c r="AD50" s="3"/>
      <c r="AE50" s="3"/>
      <c r="AF50" s="4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4"/>
      <c r="AV50" s="4"/>
      <c r="AW50" s="4"/>
    </row>
    <row r="51" spans="1:49" s="2" customFormat="1" x14ac:dyDescent="0.2">
      <c r="A51" s="4"/>
      <c r="B51" s="4"/>
      <c r="C51" s="3"/>
      <c r="D51" s="3"/>
      <c r="E51" s="4"/>
      <c r="F51" s="4"/>
      <c r="G51" s="3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3"/>
      <c r="AB51" s="3"/>
      <c r="AC51" s="4"/>
      <c r="AD51" s="3"/>
      <c r="AE51" s="3"/>
      <c r="AF51" s="4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4"/>
      <c r="AV51" s="4"/>
      <c r="AW51" s="4"/>
    </row>
    <row r="52" spans="1:49" s="2" customFormat="1" x14ac:dyDescent="0.2">
      <c r="A52" s="4"/>
      <c r="B52" s="4"/>
      <c r="C52" s="3"/>
      <c r="D52" s="3"/>
      <c r="E52" s="4"/>
      <c r="F52" s="4"/>
      <c r="G52" s="3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3"/>
      <c r="AB52" s="3"/>
      <c r="AC52" s="4"/>
      <c r="AD52" s="3"/>
      <c r="AE52" s="3"/>
      <c r="AF52" s="4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4"/>
      <c r="AV52" s="4"/>
      <c r="AW52" s="4"/>
    </row>
    <row r="53" spans="1:49" s="2" customFormat="1" x14ac:dyDescent="0.2">
      <c r="A53" s="4"/>
      <c r="B53" s="4"/>
      <c r="C53" s="3"/>
      <c r="D53" s="3"/>
      <c r="E53" s="4"/>
      <c r="F53" s="4"/>
      <c r="G53" s="3"/>
      <c r="H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3"/>
      <c r="AB53" s="3"/>
      <c r="AC53" s="4"/>
      <c r="AD53" s="3"/>
      <c r="AE53" s="3"/>
      <c r="AF53" s="4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4"/>
      <c r="AV53" s="4"/>
      <c r="AW53" s="4"/>
    </row>
    <row r="54" spans="1:49" s="2" customFormat="1" x14ac:dyDescent="0.2">
      <c r="A54" s="4"/>
      <c r="B54" s="4"/>
      <c r="C54" s="3"/>
      <c r="D54" s="3"/>
      <c r="E54" s="4"/>
      <c r="F54" s="4"/>
      <c r="G54" s="3"/>
      <c r="H54" s="4"/>
      <c r="K54" s="4"/>
      <c r="L54" s="4"/>
      <c r="M54" s="4"/>
      <c r="N54" s="4"/>
      <c r="O54" s="4"/>
      <c r="P54" s="4"/>
      <c r="Q54" s="4"/>
      <c r="R54" s="4"/>
      <c r="T54" s="4"/>
      <c r="U54" s="4"/>
      <c r="V54" s="4"/>
      <c r="W54" s="4"/>
      <c r="X54" s="4"/>
      <c r="Y54" s="4"/>
      <c r="Z54" s="4"/>
      <c r="AA54" s="3"/>
      <c r="AB54" s="3"/>
      <c r="AC54" s="4"/>
      <c r="AD54" s="3"/>
      <c r="AE54" s="3"/>
      <c r="AF54" s="4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4"/>
      <c r="AV54" s="4"/>
      <c r="AW54" s="4"/>
    </row>
    <row r="55" spans="1:49" s="2" customFormat="1" x14ac:dyDescent="0.2">
      <c r="A55" s="4"/>
      <c r="B55" s="4"/>
      <c r="C55" s="3"/>
      <c r="D55" s="3"/>
      <c r="E55" s="4"/>
      <c r="F55" s="4"/>
      <c r="G55" s="3"/>
      <c r="H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3"/>
      <c r="AB55" s="3"/>
      <c r="AC55" s="4"/>
      <c r="AD55" s="3"/>
      <c r="AE55" s="3"/>
      <c r="AF55" s="4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4"/>
      <c r="AV55" s="4"/>
      <c r="AW55" s="4"/>
    </row>
    <row r="56" spans="1:49" s="2" customFormat="1" x14ac:dyDescent="0.2">
      <c r="A56" s="4"/>
      <c r="B56" s="4"/>
      <c r="C56" s="3"/>
      <c r="D56" s="3"/>
      <c r="E56" s="4"/>
      <c r="F56" s="4"/>
      <c r="G56" s="3"/>
      <c r="H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3"/>
      <c r="AB56" s="3"/>
      <c r="AC56" s="4"/>
      <c r="AD56" s="3"/>
      <c r="AE56" s="3"/>
      <c r="AF56" s="4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4"/>
      <c r="AV56" s="4"/>
      <c r="AW56" s="4"/>
    </row>
    <row r="57" spans="1:49" s="2" customFormat="1" x14ac:dyDescent="0.2">
      <c r="A57" s="4"/>
      <c r="B57" s="4"/>
      <c r="C57" s="3"/>
      <c r="D57" s="3"/>
      <c r="E57" s="4"/>
      <c r="F57" s="4"/>
      <c r="G57" s="3"/>
      <c r="H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3"/>
      <c r="AB57" s="3"/>
      <c r="AC57" s="4"/>
      <c r="AD57" s="3"/>
      <c r="AE57" s="3"/>
      <c r="AF57" s="4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4"/>
      <c r="AV57" s="4"/>
      <c r="AW57" s="4"/>
    </row>
    <row r="58" spans="1:49" s="2" customFormat="1" x14ac:dyDescent="0.2">
      <c r="A58" s="4"/>
      <c r="B58" s="4"/>
      <c r="C58" s="3"/>
      <c r="D58" s="3"/>
      <c r="E58" s="4"/>
      <c r="F58" s="4"/>
      <c r="G58" s="3"/>
      <c r="H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3"/>
      <c r="AB58" s="3"/>
      <c r="AC58" s="4"/>
      <c r="AD58" s="3"/>
      <c r="AE58" s="3"/>
      <c r="AF58" s="4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4"/>
      <c r="AV58" s="4"/>
      <c r="AW58" s="4"/>
    </row>
    <row r="59" spans="1:49" s="2" customFormat="1" x14ac:dyDescent="0.2">
      <c r="A59" s="4"/>
      <c r="B59" s="4"/>
      <c r="C59" s="3"/>
      <c r="D59" s="3"/>
      <c r="E59" s="4"/>
      <c r="F59" s="4"/>
      <c r="G59" s="3"/>
      <c r="H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3"/>
      <c r="AB59" s="3"/>
      <c r="AC59" s="4"/>
      <c r="AD59" s="3"/>
      <c r="AE59" s="3"/>
      <c r="AF59" s="4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4"/>
      <c r="AV59" s="4"/>
      <c r="AW59" s="4"/>
    </row>
    <row r="60" spans="1:49" s="2" customFormat="1" x14ac:dyDescent="0.2">
      <c r="A60" s="4"/>
      <c r="B60" s="4"/>
      <c r="C60" s="3"/>
      <c r="D60" s="3"/>
      <c r="E60" s="4"/>
      <c r="F60" s="4"/>
      <c r="G60" s="3"/>
      <c r="H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3"/>
      <c r="AB60" s="3"/>
      <c r="AC60" s="4"/>
      <c r="AD60" s="3"/>
      <c r="AE60" s="3"/>
      <c r="AF60" s="4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4"/>
      <c r="AV60" s="4"/>
      <c r="AW60" s="4"/>
    </row>
    <row r="61" spans="1:49" s="2" customFormat="1" x14ac:dyDescent="0.2">
      <c r="A61" s="4"/>
      <c r="B61" s="4"/>
      <c r="C61" s="3"/>
      <c r="D61" s="3"/>
      <c r="E61" s="4"/>
      <c r="F61" s="4"/>
      <c r="G61" s="3"/>
      <c r="H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3"/>
      <c r="AB61" s="3"/>
      <c r="AC61" s="4"/>
      <c r="AD61" s="3"/>
      <c r="AE61" s="3"/>
      <c r="AF61" s="4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4"/>
      <c r="AV61" s="4"/>
      <c r="AW61" s="4"/>
    </row>
    <row r="62" spans="1:49" s="2" customFormat="1" x14ac:dyDescent="0.2">
      <c r="A62" s="4"/>
      <c r="B62" s="4"/>
      <c r="C62" s="3"/>
      <c r="D62" s="3"/>
      <c r="E62" s="4"/>
      <c r="F62" s="4"/>
      <c r="G62" s="3"/>
      <c r="H62" s="4"/>
      <c r="I62" s="4"/>
      <c r="J62" s="4"/>
      <c r="K62" s="4"/>
      <c r="L62" s="4" t="s">
        <v>336</v>
      </c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3"/>
      <c r="AB62" s="3"/>
      <c r="AC62" s="4"/>
      <c r="AD62" s="3"/>
      <c r="AE62" s="3"/>
      <c r="AF62" s="4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4"/>
      <c r="AV62" s="4"/>
      <c r="AW62" s="4"/>
    </row>
    <row r="63" spans="1:49" x14ac:dyDescent="0.2">
      <c r="K63" s="4" t="s">
        <v>337</v>
      </c>
      <c r="L63" s="4" t="e">
        <f>#REF!</f>
        <v>#REF!</v>
      </c>
    </row>
    <row r="64" spans="1:49" x14ac:dyDescent="0.2">
      <c r="K64" s="4" t="s">
        <v>338</v>
      </c>
      <c r="L64" s="4" t="e">
        <f>#REF!</f>
        <v>#REF!</v>
      </c>
    </row>
    <row r="65" spans="11:12" x14ac:dyDescent="0.2">
      <c r="K65" s="4" t="s">
        <v>339</v>
      </c>
      <c r="L65" s="4" t="e">
        <f>#REF!</f>
        <v>#REF!</v>
      </c>
    </row>
    <row r="66" spans="11:12" x14ac:dyDescent="0.2">
      <c r="K66" s="4" t="s">
        <v>340</v>
      </c>
      <c r="L66" s="4" t="e">
        <f>#REF!</f>
        <v>#REF!</v>
      </c>
    </row>
    <row r="67" spans="11:12" x14ac:dyDescent="0.2">
      <c r="K67" s="4" t="s">
        <v>341</v>
      </c>
      <c r="L67" s="4" t="e">
        <f>#REF!</f>
        <v>#REF!</v>
      </c>
    </row>
    <row r="68" spans="11:12" x14ac:dyDescent="0.2">
      <c r="K68" s="4" t="s">
        <v>342</v>
      </c>
      <c r="L68" s="4" t="e">
        <f>#REF!</f>
        <v>#REF!</v>
      </c>
    </row>
    <row r="69" spans="11:12" x14ac:dyDescent="0.2">
      <c r="K69" s="4" t="s">
        <v>343</v>
      </c>
      <c r="L69" s="4" t="e">
        <f>#REF!</f>
        <v>#REF!</v>
      </c>
    </row>
    <row r="70" spans="11:12" x14ac:dyDescent="0.2">
      <c r="K70" s="4" t="s">
        <v>344</v>
      </c>
      <c r="L70" s="4" t="e">
        <f>#REF!</f>
        <v>#REF!</v>
      </c>
    </row>
  </sheetData>
  <protectedRanges>
    <protectedRange sqref="E42:O43 E7:O8 E32:O33 E17:O18 E12:O13 E22:O23 E27:O28 E37:O38" name="DDR2StrobesA"/>
  </protectedRanges>
  <mergeCells count="1">
    <mergeCell ref="A1:D1"/>
  </mergeCells>
  <phoneticPr fontId="25" type="noConversion"/>
  <conditionalFormatting sqref="A1:AU1">
    <cfRule type="expression" dxfId="63" priority="9" stopIfTrue="1">
      <formula>$E$1 = "Fail"</formula>
    </cfRule>
    <cfRule type="expression" dxfId="62" priority="10" stopIfTrue="1">
      <formula>$E$1 = "Pass"</formula>
    </cfRule>
  </conditionalFormatting>
  <conditionalFormatting sqref="Q7:Q8 Q12:Q13 Q17:Q18 Q22:Q23 Q27:Q28 Q32:Q33 Q37:Q38 Q42:Q43">
    <cfRule type="cellIs" dxfId="61" priority="7" stopIfTrue="1" operator="greaterThan">
      <formula>4750</formula>
    </cfRule>
    <cfRule type="cellIs" dxfId="60" priority="8" stopIfTrue="1" operator="lessThan">
      <formula>4750</formula>
    </cfRule>
  </conditionalFormatting>
  <conditionalFormatting sqref="V7:W8 AD7:AE8 V12:W13 AD12:AE13 V17:W18 AD17:AE18 V22:W23 AD22:AE23 V27:W28 AD27:AE28 V32:W33 AD32:AE33 V37:W38 AD37:AE38 V42:W43 AD42:AE43">
    <cfRule type="cellIs" priority="5" stopIfTrue="1" operator="equal">
      <formula>"Pass"</formula>
    </cfRule>
    <cfRule type="cellIs" dxfId="59" priority="6" stopIfTrue="1" operator="notEqual">
      <formula>"Pass"</formula>
    </cfRule>
  </conditionalFormatting>
  <conditionalFormatting sqref="Z7:Z8 Z12:Z13 Z17:Z18 Z22:Z23 Z27:Z28 Z32:Z33 Z37:Z38 Z42:Z43">
    <cfRule type="cellIs" dxfId="58" priority="3" stopIfTrue="1" operator="greaterThan">
      <formula>6250</formula>
    </cfRule>
    <cfRule type="cellIs" dxfId="57" priority="4" stopIfTrue="1" operator="lessThan">
      <formula>6250</formula>
    </cfRule>
  </conditionalFormatting>
  <conditionalFormatting sqref="AG7:AT8 AG12:AT13 AG17:AT18 AG22:AT23 AG27:AT28 AG32:AT33 AG37:AT38 AG42:AT43">
    <cfRule type="cellIs" dxfId="56" priority="1" stopIfTrue="1" operator="equal">
      <formula>"Pass"</formula>
    </cfRule>
    <cfRule type="cellIs" dxfId="55" priority="2" stopIfTrue="1" operator="notEqual">
      <formula>"Pass"</formula>
    </cfRule>
  </conditionalFormatting>
  <pageMargins left="0.75" right="0.75" top="1" bottom="1" header="0.5" footer="0.5"/>
  <pageSetup paperSize="8" scale="85" orientation="landscape" verticalDpi="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Visio.Drawing.11" shapeId="23556" r:id="rId4">
          <objectPr defaultSize="0" autoPict="0" r:id="rId5">
            <anchor moveWithCells="1">
              <from>
                <xdr:col>1</xdr:col>
                <xdr:colOff>0</xdr:colOff>
                <xdr:row>46</xdr:row>
                <xdr:rowOff>0</xdr:rowOff>
              </from>
              <to>
                <xdr:col>15</xdr:col>
                <xdr:colOff>142875</xdr:colOff>
                <xdr:row>59</xdr:row>
                <xdr:rowOff>123825</xdr:rowOff>
              </to>
            </anchor>
          </objectPr>
        </oleObject>
      </mc:Choice>
      <mc:Fallback>
        <oleObject progId="Visio.Drawing.11" shapeId="23556" r:id="rId4"/>
      </mc:Fallback>
    </mc:AlternateContent>
  </oleObjects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1"/>
  <dimension ref="A1:BJ111"/>
  <sheetViews>
    <sheetView zoomScale="75" workbookViewId="0">
      <selection activeCell="AS27" sqref="AS27"/>
    </sheetView>
  </sheetViews>
  <sheetFormatPr defaultRowHeight="12.75" x14ac:dyDescent="0.2"/>
  <cols>
    <col min="1" max="1" width="15.140625" style="4" customWidth="1"/>
    <col min="2" max="2" width="10.28515625" style="22" customWidth="1"/>
    <col min="3" max="3" width="10.7109375" style="20" customWidth="1"/>
    <col min="4" max="4" width="1" style="3" customWidth="1"/>
    <col min="5" max="5" width="11.28515625" style="4" customWidth="1"/>
    <col min="6" max="6" width="12.42578125" style="4" customWidth="1"/>
    <col min="7" max="7" width="10.140625" style="3" customWidth="1"/>
    <col min="8" max="13" width="12" style="3" customWidth="1"/>
    <col min="14" max="14" width="11.140625" style="3" customWidth="1"/>
    <col min="15" max="15" width="0.85546875" style="4" customWidth="1"/>
    <col min="16" max="16" width="15.5703125" style="3" customWidth="1"/>
    <col min="17" max="17" width="17.42578125" style="3" customWidth="1"/>
    <col min="18" max="18" width="0.85546875" style="20" customWidth="1"/>
    <col min="19" max="20" width="18.140625" style="20" customWidth="1"/>
    <col min="21" max="21" width="0.85546875" style="20" customWidth="1"/>
    <col min="22" max="22" width="11.85546875" style="4" customWidth="1"/>
    <col min="23" max="23" width="12.140625" style="4" customWidth="1"/>
    <col min="24" max="24" width="1" style="4" customWidth="1"/>
    <col min="25" max="25" width="13.7109375" style="3" customWidth="1"/>
    <col min="26" max="26" width="12.28515625" style="3" customWidth="1"/>
    <col min="27" max="27" width="2" style="4" customWidth="1"/>
    <col min="28" max="28" width="11.140625" style="4" customWidth="1"/>
    <col min="29" max="29" width="13.5703125" style="4" customWidth="1"/>
    <col min="30" max="30" width="1" style="4" customWidth="1"/>
    <col min="31" max="31" width="13.7109375" style="3" customWidth="1"/>
    <col min="32" max="32" width="14.28515625" style="3" customWidth="1"/>
    <col min="33" max="33" width="14.28515625" style="4" customWidth="1"/>
    <col min="34" max="34" width="13.7109375" style="4" customWidth="1"/>
    <col min="35" max="40" width="14.28515625" style="22" customWidth="1"/>
    <col min="41" max="41" width="19" style="22" customWidth="1"/>
    <col min="42" max="44" width="19.42578125" style="22" customWidth="1"/>
    <col min="45" max="45" width="0.85546875" style="22" customWidth="1"/>
    <col min="46" max="46" width="17.85546875" style="22" customWidth="1"/>
    <col min="47" max="47" width="21.140625" style="22" customWidth="1"/>
    <col min="48" max="48" width="2.140625" style="4" customWidth="1"/>
    <col min="49" max="49" width="11.42578125" style="22" customWidth="1"/>
    <col min="50" max="50" width="11.28515625" style="22" customWidth="1"/>
    <col min="51" max="51" width="16.28515625" style="22" customWidth="1"/>
    <col min="52" max="52" width="11.42578125" style="22" customWidth="1"/>
    <col min="53" max="53" width="11.28515625" style="22" customWidth="1"/>
    <col min="54" max="54" width="16.28515625" style="22" customWidth="1"/>
    <col min="55" max="55" width="11.85546875" style="4" customWidth="1"/>
    <col min="56" max="56" width="11.28515625" style="22" customWidth="1"/>
    <col min="57" max="57" width="11.42578125" style="22" customWidth="1"/>
    <col min="58" max="58" width="16.28515625" style="22" customWidth="1"/>
    <col min="59" max="59" width="12.85546875" style="4" customWidth="1"/>
    <col min="60" max="60" width="11.28515625" style="22" customWidth="1"/>
    <col min="61" max="61" width="11.42578125" style="22" customWidth="1"/>
    <col min="62" max="62" width="16.28515625" style="22" customWidth="1"/>
    <col min="63" max="16384" width="9.140625" style="2"/>
  </cols>
  <sheetData>
    <row r="1" spans="1:62" ht="26.25" x14ac:dyDescent="0.2">
      <c r="A1" s="1001" t="s">
        <v>156</v>
      </c>
      <c r="B1" s="1003"/>
      <c r="C1" s="1003"/>
      <c r="D1" s="1003"/>
      <c r="E1" s="1002" t="e">
        <f ca="1">IF(AND(AU7="Pass",AU19="Pass",AU31="Pass",AU43="Pass",AU55="Pass",AU67="Pass",AU79="Pass",AU91="Pass"),"Pass","Fail")</f>
        <v>#REF!</v>
      </c>
      <c r="F1" s="1002"/>
      <c r="G1" s="2"/>
      <c r="H1" s="2"/>
      <c r="I1" s="2"/>
      <c r="J1" s="2"/>
      <c r="K1" s="2"/>
      <c r="L1" s="2"/>
      <c r="M1" s="2"/>
      <c r="N1" s="2"/>
      <c r="O1" s="2"/>
      <c r="AV1" s="2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</row>
    <row r="2" spans="1:62" customFormat="1" ht="18" x14ac:dyDescent="0.2">
      <c r="A2" s="81" t="s">
        <v>58</v>
      </c>
      <c r="B2" s="269" t="e">
        <f>'DDR2 Clocks - 2L'!B2</f>
        <v>#REF!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</row>
    <row r="3" spans="1:62" s="41" customFormat="1" ht="87.75" customHeight="1" x14ac:dyDescent="0.2">
      <c r="A3" s="86" t="s">
        <v>494</v>
      </c>
      <c r="B3" s="86" t="s">
        <v>511</v>
      </c>
      <c r="C3" s="88" t="s">
        <v>512</v>
      </c>
      <c r="D3" s="88"/>
      <c r="E3" s="87" t="e">
        <f>"Escape       Length L0 ["&amp;$B$2&amp;"]"</f>
        <v>#REF!</v>
      </c>
      <c r="F3" s="87" t="e">
        <f>"Breakout Length L1  ["&amp;$B$2&amp;"]"</f>
        <v>#REF!</v>
      </c>
      <c r="G3" s="87" t="e">
        <f>"Main      Length L2  ["&amp;$B$2&amp;"]"</f>
        <v>#REF!</v>
      </c>
      <c r="H3" s="87" t="e">
        <f>"Breakin     Length S1  ["&amp;$B$2&amp;"]"</f>
        <v>#REF!</v>
      </c>
      <c r="I3" s="107" t="e">
        <f>"Stripline Route to Rs L3 ["&amp;$B$2&amp;"]"</f>
        <v>#REF!</v>
      </c>
      <c r="J3" s="107" t="e">
        <f>"Breakin to Rs L4 ["&amp;$B$2&amp;"]"</f>
        <v>#REF!</v>
      </c>
      <c r="K3" s="107" t="e">
        <f>"Rs length ["&amp;$B$2&amp;"]"</f>
        <v>#REF!</v>
      </c>
      <c r="L3" s="107" t="e">
        <f>"Breakout from Rs L5 ["&amp;$B$2&amp;"]"</f>
        <v>#REF!</v>
      </c>
      <c r="M3" s="107" t="e">
        <f>"Stripline between Rs and SDRAM L6 ["&amp;$B$2&amp;"]"</f>
        <v>#REF!</v>
      </c>
      <c r="N3" s="107" t="e">
        <f>"Breakin to SDRAM L7 ["&amp;$B$2&amp;"]"</f>
        <v>#REF!</v>
      </c>
      <c r="O3" s="107"/>
      <c r="P3" s="532" t="e">
        <f>"Total MB Length to SODIMM (L0+L1+L2+S1)  ["&amp;$B$2&amp;"]"</f>
        <v>#REF!</v>
      </c>
      <c r="Q3" s="532" t="e">
        <f>"Total MB Length to SDRAM (L0+L1+L2+L3+L4+Rs+L5+L6+L7)  ["&amp;$B$2&amp;"]"</f>
        <v>#REF!</v>
      </c>
      <c r="R3" s="5"/>
      <c r="S3" s="5" t="e">
        <f>"Total Pad-to-SODIMM Connector Length (P0+L0+L1+L2+S1)  ["&amp;$B$2&amp;"]"</f>
        <v>#REF!</v>
      </c>
      <c r="T3" s="5" t="e">
        <f>"Total Pad-to-SDRAM Pin Length (P0+L0+L1+L2+L3+L4+Rs+L5+L6+L7)  ["&amp;$B$2&amp;"]"</f>
        <v>#REF!</v>
      </c>
      <c r="U3" s="5"/>
      <c r="V3" s="5" t="e">
        <f>"Target Min Length to SODIMM
["&amp;$B$2&amp;"]"</f>
        <v>#REF!</v>
      </c>
      <c r="W3" s="5" t="e">
        <f>"Target Max Length to SODIMM 
["&amp;$B$2&amp;"]"</f>
        <v>#REF!</v>
      </c>
      <c r="X3" s="5"/>
      <c r="Y3" s="5" t="e">
        <f>"Length to SODIMM Routed Too Short  ["&amp;$B$2&amp;"]"</f>
        <v>#REF!</v>
      </c>
      <c r="Z3" s="5" t="e">
        <f>"Length to SODIMM Routed Too Long  ["&amp;$B$2&amp;"]"</f>
        <v>#REF!</v>
      </c>
      <c r="AA3" s="5"/>
      <c r="AB3" s="5" t="e">
        <f>"Target Min Length to SDRAM
["&amp;$B$2&amp;"]"</f>
        <v>#REF!</v>
      </c>
      <c r="AC3" s="5" t="e">
        <f>"Target Max Length to SDRAM 
["&amp;$B$2&amp;"]"</f>
        <v>#REF!</v>
      </c>
      <c r="AD3" s="5"/>
      <c r="AE3" s="5" t="e">
        <f>"Length to SDRAM Routed Too Short  ["&amp;$B$2&amp;"]"</f>
        <v>#REF!</v>
      </c>
      <c r="AF3" s="5" t="e">
        <f>"Length to SDRAM Routed Too Long  ["&amp;$B$2&amp;"]"</f>
        <v>#REF!</v>
      </c>
      <c r="AG3" s="5" t="e">
        <f>"L0 Length Test (&lt;="&amp;IF($B$2="mil",1,0.0254)*50&amp;$B$2&amp;")"</f>
        <v>#REF!</v>
      </c>
      <c r="AH3" s="5" t="e">
        <f>"L1 Length Test (&lt;="&amp;IF($B$2="mil",1,0.0254)*500&amp;$B$2&amp;")"</f>
        <v>#REF!</v>
      </c>
      <c r="AI3" s="5" t="e">
        <f>"S1 Length Test (&lt;="&amp;IF($B$2="mil",1,0.0254)*250&amp;$B$2&amp;")"</f>
        <v>#REF!</v>
      </c>
      <c r="AJ3" s="5" t="e">
        <f>"L3 Length Test (&lt;="&amp;IF($B$2="mil",1,0.0254)*1000&amp;$B$2&amp;" or L3 + L4 &lt;="&amp; IF($B$2="mil",1,0.0254)*1125&amp;$B$2&amp;")"</f>
        <v>#REF!</v>
      </c>
      <c r="AK3" s="5" t="e">
        <f>"L4 Length Test (&lt;="&amp;IF($B$2="mil",1,0.0254)*125&amp;$B$2&amp;")"</f>
        <v>#REF!</v>
      </c>
      <c r="AL3" s="5" t="e">
        <f>"L5 Length Test (&lt;="&amp;IF($B$2="mil",1,0.0254)*125&amp;$B$2&amp;")"</f>
        <v>#REF!</v>
      </c>
      <c r="AM3" s="5" t="e">
        <f>"L6 Length Test (&lt;="&amp;IF($B$2="mil",1,0.0254)*1250&amp;$B$2&amp;" or L5+L6+L7 &lt;= "&amp;IF($B$2="mil",1,0.0254)*1525&amp;$B$2&amp;")"</f>
        <v>#REF!</v>
      </c>
      <c r="AN3" s="5" t="e">
        <f>"L7 Length Test (&lt;="&amp;IF($B$2="mil",1,0.0254)*150&amp;$B$2&amp;") or (L6+L7 &lt;= "&amp;IF($B$2="mil",1,0.0254)*1400&amp;$B$2&amp;")"</f>
        <v>#REF!</v>
      </c>
      <c r="AO3" s="5" t="e">
        <f>"Total MB Length to SODIMM (L0+L1+L2+S1) Test
 "&amp;IF($B$2="mil","(500-4000mil)","(12.7-114.3mm)")</f>
        <v>#REF!</v>
      </c>
      <c r="AP3" s="5" t="e">
        <f>"Total Length to SODIMM (P0+L0+L1+L2+S1) Test
 (&lt;="&amp; IF($B$2="mil","4500mil","127mm")&amp;")"</f>
        <v>#REF!</v>
      </c>
      <c r="AQ3" s="5" t="e">
        <f>"Total MB Length to SDRAM (L0+L1+L2+L3+L4+Rs+L5+L6+L7) Test
 "&amp;IF($B$2="mil","(500-5500mil)","(12.7-114.3mm)")</f>
        <v>#REF!</v>
      </c>
      <c r="AR3" s="5" t="e">
        <f>"Total Length to SDRAM (P0+L0+L1+L2+L3+L4+Rs+L5+L6+L7) Test
 (&lt;="&amp; IF($B$2="mil","6000mil","127mm")&amp;")"</f>
        <v>#REF!</v>
      </c>
      <c r="AS3" s="5"/>
    </row>
    <row r="4" spans="1:62" x14ac:dyDescent="0.2">
      <c r="A4" s="94" t="s">
        <v>245</v>
      </c>
      <c r="B4" s="438"/>
      <c r="C4" s="109"/>
      <c r="D4" s="8"/>
      <c r="E4" s="8"/>
      <c r="F4" s="19"/>
      <c r="G4" s="7"/>
      <c r="H4" s="7"/>
      <c r="I4" s="7"/>
      <c r="J4" s="7"/>
      <c r="K4" s="7"/>
      <c r="L4" s="7"/>
      <c r="M4" s="7"/>
      <c r="N4" s="8"/>
      <c r="O4" s="8"/>
      <c r="P4" s="7"/>
      <c r="Q4" s="7"/>
      <c r="R4" s="8"/>
      <c r="S4" s="8"/>
      <c r="T4" s="8"/>
      <c r="U4" s="8"/>
      <c r="V4" s="42"/>
      <c r="W4" s="8"/>
      <c r="X4" s="8"/>
      <c r="Y4" s="13"/>
      <c r="Z4" s="15"/>
      <c r="AA4" s="8"/>
      <c r="AB4" s="42"/>
      <c r="AC4" s="8"/>
      <c r="AD4" s="8"/>
      <c r="AE4" s="13"/>
      <c r="AF4" s="15"/>
      <c r="AG4" s="15"/>
      <c r="AH4" s="15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0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</row>
    <row r="5" spans="1:62" x14ac:dyDescent="0.2">
      <c r="A5" s="103" t="str">
        <f>'DDR2 Strobes - 1x16'!$A$7</f>
        <v>SA_DQS0</v>
      </c>
      <c r="B5" s="112" t="str">
        <f>'DDR2 Strobes - 1x16'!$B$7</f>
        <v>Y25</v>
      </c>
      <c r="C5" s="110"/>
      <c r="D5" s="44"/>
      <c r="E5" s="66"/>
      <c r="F5" s="66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  <c r="R5" s="67"/>
      <c r="S5" s="48"/>
      <c r="T5" s="48"/>
      <c r="U5" s="48"/>
      <c r="V5" s="48" t="e">
        <f>'DDR2 Strobes - 1x16'!$S$7</f>
        <v>#REF!</v>
      </c>
      <c r="W5" s="48"/>
      <c r="X5" s="48"/>
      <c r="Y5" s="48"/>
      <c r="Z5" s="535"/>
      <c r="AA5" s="48"/>
      <c r="AB5" s="48" t="e">
        <f>'DDR2 Strobes - 1x16'!$T$7</f>
        <v>#REF!</v>
      </c>
      <c r="AC5" s="48"/>
      <c r="AD5" s="48"/>
      <c r="AE5" s="48"/>
      <c r="AF5" s="535"/>
      <c r="AG5" s="535"/>
      <c r="AH5" s="535"/>
      <c r="AI5" s="535"/>
      <c r="AJ5" s="535"/>
      <c r="AK5" s="535"/>
      <c r="AL5" s="535"/>
      <c r="AM5" s="535"/>
      <c r="AN5" s="535"/>
      <c r="AO5" s="535"/>
      <c r="AP5" s="535"/>
      <c r="AQ5" s="535"/>
      <c r="AR5" s="535"/>
      <c r="AS5" s="48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</row>
    <row r="6" spans="1:62" x14ac:dyDescent="0.2">
      <c r="A6" s="103" t="str">
        <f>'DDR2 Strobes - 1x16'!$A$8</f>
        <v>SA_DQS0#</v>
      </c>
      <c r="B6" s="112" t="str">
        <f>'DDR2 Strobes - 1x16'!$B$8</f>
        <v>W24</v>
      </c>
      <c r="C6" s="110"/>
      <c r="D6" s="44"/>
      <c r="E6" s="66"/>
      <c r="F6" s="66"/>
      <c r="G6" s="261"/>
      <c r="H6" s="261"/>
      <c r="I6" s="67"/>
      <c r="J6" s="67"/>
      <c r="K6" s="67"/>
      <c r="L6" s="67"/>
      <c r="M6" s="67"/>
      <c r="N6" s="67"/>
      <c r="O6" s="67"/>
      <c r="P6" s="67"/>
      <c r="Q6" s="536"/>
      <c r="R6" s="536"/>
      <c r="S6" s="537"/>
      <c r="T6" s="537"/>
      <c r="U6" s="48"/>
      <c r="V6" s="48" t="e">
        <f>'DDR2 Strobes - 1x16'!$S$8</f>
        <v>#REF!</v>
      </c>
      <c r="W6" s="48"/>
      <c r="X6" s="48"/>
      <c r="Y6" s="48"/>
      <c r="Z6" s="535"/>
      <c r="AA6" s="48"/>
      <c r="AB6" s="48" t="e">
        <f>'DDR2 Strobes - 1x16'!$T$8</f>
        <v>#REF!</v>
      </c>
      <c r="AC6" s="48"/>
      <c r="AD6" s="48"/>
      <c r="AE6" s="48"/>
      <c r="AF6" s="535"/>
      <c r="AG6" s="535"/>
      <c r="AH6" s="535"/>
      <c r="AI6" s="538"/>
      <c r="AJ6" s="538"/>
      <c r="AK6" s="538"/>
      <c r="AL6" s="538"/>
      <c r="AM6" s="538"/>
      <c r="AN6" s="538"/>
      <c r="AO6" s="538"/>
      <c r="AP6" s="538"/>
      <c r="AQ6" s="538"/>
      <c r="AR6" s="538"/>
      <c r="AS6" s="48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</row>
    <row r="7" spans="1:62" x14ac:dyDescent="0.2">
      <c r="A7" s="92" t="s">
        <v>169</v>
      </c>
      <c r="B7" s="433" t="s">
        <v>550</v>
      </c>
      <c r="C7" s="584">
        <v>385.1968503937008</v>
      </c>
      <c r="D7" s="16"/>
      <c r="E7" s="17">
        <v>29.7</v>
      </c>
      <c r="F7" s="17">
        <v>0</v>
      </c>
      <c r="G7" s="271">
        <v>1970</v>
      </c>
      <c r="H7" s="271">
        <v>10</v>
      </c>
      <c r="I7" s="17">
        <v>0</v>
      </c>
      <c r="J7" s="271">
        <v>57.5</v>
      </c>
      <c r="K7" s="17">
        <v>40</v>
      </c>
      <c r="L7" s="271">
        <v>52.37</v>
      </c>
      <c r="M7" s="271">
        <v>1056</v>
      </c>
      <c r="N7" s="271">
        <v>76</v>
      </c>
      <c r="O7" s="58"/>
      <c r="P7" s="441">
        <f xml:space="preserve"> E7+F7+G7+H7</f>
        <v>2009.7</v>
      </c>
      <c r="Q7" s="441">
        <f t="shared" ref="Q7:Q14" si="0">SUM(E7:G7,I7:N7)</f>
        <v>3281.5699999999997</v>
      </c>
      <c r="R7" s="533"/>
      <c r="S7" s="441" t="e">
        <f>P7+IF($B$2="mil",1,0.0254)*C7</f>
        <v>#REF!</v>
      </c>
      <c r="T7" s="441" t="e">
        <f>Q7+IF($B$2="mil",1,0.0254)*C7</f>
        <v>#REF!</v>
      </c>
      <c r="U7" s="533"/>
      <c r="V7" s="441" t="e">
        <f>MAX(V$5:V$6)+IF($B$2="mil",1,0.0254)*DDR2Specs!$B$3</f>
        <v>#REF!</v>
      </c>
      <c r="W7" s="441" t="e">
        <f>MIN(V$5:V$6)+IF($B$2="mil",1,0.0254)*DDR2Specs!$C$3</f>
        <v>#REF!</v>
      </c>
      <c r="X7" s="18"/>
      <c r="Y7" s="534" t="e">
        <f>IF($S7&lt;$V7,$V7-$S7,"Pass")</f>
        <v>#REF!</v>
      </c>
      <c r="Z7" s="447" t="e">
        <f>IF($S7&gt;$W7,$S7-$W7,"Pass")</f>
        <v>#REF!</v>
      </c>
      <c r="AA7" s="18"/>
      <c r="AB7" s="441" t="e">
        <f>MAX(AB$5:AB$6)+IF($B$2="mil",1,0.0254)*DDR2Specs!$E$3</f>
        <v>#REF!</v>
      </c>
      <c r="AC7" s="441" t="e">
        <f>MIN(AB$5:AB$6)+IF($B$2="mil",1,0.0254)*DDR2Specs!$F$3</f>
        <v>#REF!</v>
      </c>
      <c r="AD7" s="18"/>
      <c r="AE7" s="534" t="e">
        <f t="shared" ref="AE7:AE15" si="1">IF($T7&lt;$AB7,$AB7-$T7,"Pass")</f>
        <v>#REF!</v>
      </c>
      <c r="AF7" s="447" t="e">
        <f t="shared" ref="AF7:AF15" si="2">IF($T7&gt;$AC7,$T7-$AC7,"Pass")</f>
        <v>#REF!</v>
      </c>
      <c r="AG7" s="447" t="e">
        <f>IF($E7&lt;=IF($B$2="mil",1,0.0254)*50,"Pass",IF($B$2="mil",1,0.0254)*50-$E7)</f>
        <v>#REF!</v>
      </c>
      <c r="AH7" s="447" t="e">
        <f>IF($F7&lt;=IF($B$2="mil",1,0.0254)*500,"Pass",IF($B$2="mil",1,0.0254)*500-$F7)</f>
        <v>#REF!</v>
      </c>
      <c r="AI7" s="447" t="e">
        <f t="shared" ref="AI7:AI15" si="3">IF($H7&lt;=IF($B$2="mil",1,0.0254)*250,"Pass",IF($B$2="mil",1,0.0254)*250-$H7)</f>
        <v>#REF!</v>
      </c>
      <c r="AJ7" s="447" t="e">
        <f ca="1">CheckLength(IF($B$2="mil",1,0.0254)*1125, IF($B$2="mil",1,0.0254)*125-J7, 0, I7,J7,0)</f>
        <v>#NAME?</v>
      </c>
      <c r="AK7" s="447" t="e">
        <f>IF($J7&lt;=IF($B$2="mil",1,0.0254)*125,"Pass",IF($B$2="mil",1,0.0254)*125-$J7)</f>
        <v>#REF!</v>
      </c>
      <c r="AL7" s="447" t="e">
        <f>IF($L7&lt;=IF($B$2="mil",1,0.0254)*125,"Pass",IF($B$2="mil",1,0.0254)*125-$L7)</f>
        <v>#REF!</v>
      </c>
      <c r="AM7" s="447" t="e">
        <f ca="1">CheckLength(IF($B$2="mil",1,0.0254)*1525, IF($B$2="mil",1,0.0254)*125-L7, IF($B$2="mil",1,0.0254)*150-N7, M7,L7,N7)</f>
        <v>#NAME?</v>
      </c>
      <c r="AN7" s="447" t="e">
        <f ca="1">CheckLength2(IF($B$2="mil",1,0.0254)*1400,M7,N7,0)</f>
        <v>#NAME?</v>
      </c>
      <c r="AO7" s="447" t="e">
        <f>IF(AND($P7&gt;=IF($B$2="mil",1,0.0254)*500, $P7&lt;=IF($B$2="mil",1,0.0254)*4000),"Pass",IF($B$2="mil",1,0.0254)*4000-$P7)</f>
        <v>#REF!</v>
      </c>
      <c r="AP7" s="447" t="e">
        <f>IF(AND($S7&gt;=IF($B$2="mil",1,0.0254)*500, $S7&lt;=IF($B$2="mil",1,0.0254)*4500),"Pass",IF($B$2="mil",1,0.0254)*4500-$S7)</f>
        <v>#REF!</v>
      </c>
      <c r="AQ7" s="447" t="e">
        <f>IF(AND($Q7&gt;=IF($B$2="mil",1,0.0254)*500, $Q7&lt;=IF($B$2="mil",1,0.0254)*5500),"Pass",IF($B$2="mil",1,0.0254)*5500-$Q7)</f>
        <v>#REF!</v>
      </c>
      <c r="AR7" s="447" t="e">
        <f>IF(AND($T7&gt;=IF($B$2="mil",1,0.0254)*500, $T7&lt;=IF($B$2="mil",1,0.0254)*6000),"Pass",IF($B$2="mil",1,0.0254)*6000-$T7)</f>
        <v>#REF!</v>
      </c>
      <c r="AS7" s="18"/>
      <c r="AT7" s="2" t="e">
        <f t="shared" ref="AT7:AT15" ca="1" si="4">IF(AND(AG7="Pass",AP7="Pass",AI7="Pass",AH7="Pass",AO7="Pass",Y7="Pass",Z7="Pass",AN7="Pass",AM7="Pass",AL7="Pass",AK7="Pass",AJ7="Pass",AE7="Pass",AF7="Pass",AQ7="Pass",AR7="Pass"),"Pass","Fail")</f>
        <v>#REF!</v>
      </c>
      <c r="AU7" s="2" t="e">
        <f ca="1">IF(AND(AT7="Pass",AT8="Pass",AT9="Pass",AT10="Pass",AT11="Pass",AT12="Pass",AT13="Pass",AT14="Pass",AT15="Pass"),"Pass","Fail")</f>
        <v>#REF!</v>
      </c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</row>
    <row r="8" spans="1:62" x14ac:dyDescent="0.2">
      <c r="A8" s="92" t="s">
        <v>170</v>
      </c>
      <c r="B8" s="433" t="s">
        <v>551</v>
      </c>
      <c r="C8" s="584">
        <v>406.77165354330714</v>
      </c>
      <c r="D8" s="16"/>
      <c r="E8" s="17">
        <v>29.7</v>
      </c>
      <c r="F8" s="17">
        <v>0</v>
      </c>
      <c r="G8" s="271">
        <v>1958.93</v>
      </c>
      <c r="H8" s="271">
        <v>10</v>
      </c>
      <c r="I8" s="17">
        <v>0</v>
      </c>
      <c r="J8" s="271">
        <v>61.64</v>
      </c>
      <c r="K8" s="17">
        <v>40</v>
      </c>
      <c r="L8" s="271">
        <v>113.2</v>
      </c>
      <c r="M8" s="271">
        <v>990</v>
      </c>
      <c r="N8" s="271">
        <v>79</v>
      </c>
      <c r="O8" s="58"/>
      <c r="P8" s="441">
        <f t="shared" ref="P8:P15" si="5" xml:space="preserve"> E8+F8+G8+H8</f>
        <v>1998.63</v>
      </c>
      <c r="Q8" s="441">
        <f t="shared" si="0"/>
        <v>3272.47</v>
      </c>
      <c r="R8" s="533"/>
      <c r="S8" s="441" t="e">
        <f t="shared" ref="S8:S15" si="6">P8+IF($B$2="mil",1,0.0254)*C8</f>
        <v>#REF!</v>
      </c>
      <c r="T8" s="441" t="e">
        <f t="shared" ref="T8:T15" si="7">Q8+IF($B$2="mil",1,0.0254)*C8</f>
        <v>#REF!</v>
      </c>
      <c r="U8" s="533"/>
      <c r="V8" s="441" t="e">
        <f>MAX(V$5:V$6)+IF($B$2="mil",1,0.0254)*DDR2Specs!$B$3</f>
        <v>#REF!</v>
      </c>
      <c r="W8" s="441" t="e">
        <f>MIN(V$5:V$6)+IF($B$2="mil",1,0.0254)*DDR2Specs!$C$3</f>
        <v>#REF!</v>
      </c>
      <c r="X8" s="18"/>
      <c r="Y8" s="534" t="e">
        <f t="shared" ref="Y8:Y15" si="8">IF($S8&lt;$V8,$V8-$S8,"Pass")</f>
        <v>#REF!</v>
      </c>
      <c r="Z8" s="447" t="e">
        <f t="shared" ref="Z8:Z15" si="9">IF($S8&gt;$W8,$S8-$W8,"Pass")</f>
        <v>#REF!</v>
      </c>
      <c r="AA8" s="18"/>
      <c r="AB8" s="441" t="e">
        <f>MAX(AB$5:AB$6)+IF($B$2="mil",1,0.0254)*DDR2Specs!$E$3</f>
        <v>#REF!</v>
      </c>
      <c r="AC8" s="441" t="e">
        <f>MIN(AB$5:AB$6)+IF($B$2="mil",1,0.0254)*DDR2Specs!$F$3</f>
        <v>#REF!</v>
      </c>
      <c r="AD8" s="18"/>
      <c r="AE8" s="534" t="e">
        <f t="shared" si="1"/>
        <v>#REF!</v>
      </c>
      <c r="AF8" s="447" t="e">
        <f t="shared" si="2"/>
        <v>#REF!</v>
      </c>
      <c r="AG8" s="447" t="e">
        <f t="shared" ref="AG8:AG15" si="10">IF($E8&lt;=IF($B$2="mil",1,0.0254)*50,"Pass",IF($B$2="mil",1,0.0254)*50-$E8)</f>
        <v>#REF!</v>
      </c>
      <c r="AH8" s="447" t="e">
        <f t="shared" ref="AH8:AH15" si="11">IF($F8&lt;=IF($B$2="mil",1,0.0254)*500,"Pass",IF($B$2="mil",1,0.0254)*500-$F8)</f>
        <v>#REF!</v>
      </c>
      <c r="AI8" s="447" t="e">
        <f t="shared" si="3"/>
        <v>#REF!</v>
      </c>
      <c r="AJ8" s="447" t="e">
        <f t="shared" ref="AJ8:AJ15" ca="1" si="12">CheckLength(IF($B$2="mil",1,0.0254)*1125, IF($B$2="mil",1,0.0254)*125-J8, 0, I8,J8,0)</f>
        <v>#NAME?</v>
      </c>
      <c r="AK8" s="447" t="e">
        <f t="shared" ref="AK8:AK15" si="13">IF($J8&lt;=IF($B$2="mil",1,0.0254)*125,"Pass",IF($B$2="mil",1,0.0254)*125-$J8)</f>
        <v>#REF!</v>
      </c>
      <c r="AL8" s="447" t="e">
        <f t="shared" ref="AL8:AL14" si="14">IF($L8&lt;=IF($B$2="mil",1,0.0254)*125,"Pass",IF($B$2="mil",1,0.0254)*125-$L8)</f>
        <v>#REF!</v>
      </c>
      <c r="AM8" s="447" t="e">
        <f t="shared" ref="AM8:AM15" ca="1" si="15">CheckLength(IF($B$2="mil",1,0.0254)*1525, IF($B$2="mil",1,0.0254)*125-L8, IF($B$2="mil",1,0.0254)*150-N8, M8,L8,N8)</f>
        <v>#NAME?</v>
      </c>
      <c r="AN8" s="447" t="e">
        <f t="shared" ref="AN8:AN15" ca="1" si="16">CheckLength2(IF($B$2="mil",1,0.0254)*1400,M8,N8,0)</f>
        <v>#NAME?</v>
      </c>
      <c r="AO8" s="447" t="e">
        <f t="shared" ref="AO8:AO15" si="17">IF(AND($P8&gt;=IF($B$2="mil",1,0.0254)*500, $P8&lt;=IF($B$2="mil",1,0.0254)*4000),"Pass",IF($B$2="mil",1,0.0254)*4000-$P8)</f>
        <v>#REF!</v>
      </c>
      <c r="AP8" s="447" t="e">
        <f t="shared" ref="AP8:AP15" si="18">IF(AND($S8&gt;=IF($B$2="mil",1,0.0254)*500, $S8&lt;=IF($B$2="mil",1,0.0254)*4500),"Pass",IF($B$2="mil",1,0.0254)*4500-$S8)</f>
        <v>#REF!</v>
      </c>
      <c r="AQ8" s="447" t="e">
        <f t="shared" ref="AQ8:AQ15" si="19">IF(AND($Q8&gt;=IF($B$2="mil",1,0.0254)*500, $Q8&lt;=IF($B$2="mil",1,0.0254)*5500),"Pass",IF($B$2="mil",1,0.0254)*5500-$Q8)</f>
        <v>#REF!</v>
      </c>
      <c r="AR8" s="447" t="e">
        <f t="shared" ref="AR8:AR15" si="20">IF(AND($T8&gt;=IF($B$2="mil",1,0.0254)*500, $T8&lt;=IF($B$2="mil",1,0.0254)*6000),"Pass",IF($B$2="mil",1,0.0254)*6000-$T8)</f>
        <v>#REF!</v>
      </c>
      <c r="AS8" s="18"/>
      <c r="AT8" s="2" t="e">
        <f t="shared" ca="1" si="4"/>
        <v>#REF!</v>
      </c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</row>
    <row r="9" spans="1:62" x14ac:dyDescent="0.2">
      <c r="A9" s="92" t="s">
        <v>171</v>
      </c>
      <c r="B9" s="433" t="s">
        <v>552</v>
      </c>
      <c r="C9" s="584">
        <v>432.40157480314963</v>
      </c>
      <c r="D9" s="16"/>
      <c r="E9" s="17">
        <v>29.7</v>
      </c>
      <c r="F9" s="17">
        <v>0</v>
      </c>
      <c r="G9" s="271">
        <v>1933</v>
      </c>
      <c r="H9" s="271">
        <v>10</v>
      </c>
      <c r="I9" s="17">
        <v>0</v>
      </c>
      <c r="J9" s="271">
        <v>103.2</v>
      </c>
      <c r="K9" s="17">
        <v>40</v>
      </c>
      <c r="L9" s="271">
        <v>94.07</v>
      </c>
      <c r="M9" s="271">
        <v>1007</v>
      </c>
      <c r="N9" s="271">
        <v>28.01</v>
      </c>
      <c r="O9" s="58"/>
      <c r="P9" s="441">
        <f t="shared" si="5"/>
        <v>1972.7</v>
      </c>
      <c r="Q9" s="441">
        <f t="shared" si="0"/>
        <v>3234.9800000000005</v>
      </c>
      <c r="R9" s="533"/>
      <c r="S9" s="441" t="e">
        <f t="shared" si="6"/>
        <v>#REF!</v>
      </c>
      <c r="T9" s="441" t="e">
        <f t="shared" si="7"/>
        <v>#REF!</v>
      </c>
      <c r="U9" s="533"/>
      <c r="V9" s="441" t="e">
        <f>MAX(V$5:V$6)+IF($B$2="mil",1,0.0254)*DDR2Specs!$B$3</f>
        <v>#REF!</v>
      </c>
      <c r="W9" s="441" t="e">
        <f>MIN(V$5:V$6)+IF($B$2="mil",1,0.0254)*DDR2Specs!$C$3</f>
        <v>#REF!</v>
      </c>
      <c r="X9" s="18"/>
      <c r="Y9" s="534" t="e">
        <f t="shared" si="8"/>
        <v>#REF!</v>
      </c>
      <c r="Z9" s="447" t="e">
        <f t="shared" si="9"/>
        <v>#REF!</v>
      </c>
      <c r="AA9" s="18"/>
      <c r="AB9" s="441" t="e">
        <f>MAX(AB$5:AB$6)+IF($B$2="mil",1,0.0254)*DDR2Specs!$E$3</f>
        <v>#REF!</v>
      </c>
      <c r="AC9" s="441" t="e">
        <f>MIN(AB$5:AB$6)+IF($B$2="mil",1,0.0254)*DDR2Specs!$F$3</f>
        <v>#REF!</v>
      </c>
      <c r="AD9" s="18"/>
      <c r="AE9" s="534" t="e">
        <f t="shared" si="1"/>
        <v>#REF!</v>
      </c>
      <c r="AF9" s="447" t="e">
        <f t="shared" si="2"/>
        <v>#REF!</v>
      </c>
      <c r="AG9" s="447" t="e">
        <f t="shared" si="10"/>
        <v>#REF!</v>
      </c>
      <c r="AH9" s="447" t="e">
        <f t="shared" si="11"/>
        <v>#REF!</v>
      </c>
      <c r="AI9" s="447" t="e">
        <f t="shared" si="3"/>
        <v>#REF!</v>
      </c>
      <c r="AJ9" s="447" t="e">
        <f t="shared" ca="1" si="12"/>
        <v>#NAME?</v>
      </c>
      <c r="AK9" s="447" t="e">
        <f t="shared" si="13"/>
        <v>#REF!</v>
      </c>
      <c r="AL9" s="447" t="e">
        <f t="shared" si="14"/>
        <v>#REF!</v>
      </c>
      <c r="AM9" s="447" t="e">
        <f t="shared" ca="1" si="15"/>
        <v>#NAME?</v>
      </c>
      <c r="AN9" s="447" t="e">
        <f t="shared" ca="1" si="16"/>
        <v>#NAME?</v>
      </c>
      <c r="AO9" s="447" t="e">
        <f t="shared" si="17"/>
        <v>#REF!</v>
      </c>
      <c r="AP9" s="447" t="e">
        <f t="shared" si="18"/>
        <v>#REF!</v>
      </c>
      <c r="AQ9" s="447" t="e">
        <f t="shared" si="19"/>
        <v>#REF!</v>
      </c>
      <c r="AR9" s="447" t="e">
        <f t="shared" si="20"/>
        <v>#REF!</v>
      </c>
      <c r="AS9" s="18"/>
      <c r="AT9" s="2" t="e">
        <f t="shared" ca="1" si="4"/>
        <v>#REF!</v>
      </c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</row>
    <row r="10" spans="1:62" x14ac:dyDescent="0.2">
      <c r="A10" s="92" t="s">
        <v>172</v>
      </c>
      <c r="B10" s="433" t="s">
        <v>548</v>
      </c>
      <c r="C10" s="584">
        <v>395.82677165354335</v>
      </c>
      <c r="D10" s="16"/>
      <c r="E10" s="17">
        <v>29.7</v>
      </c>
      <c r="F10" s="17">
        <v>0</v>
      </c>
      <c r="G10" s="271">
        <v>1961.55</v>
      </c>
      <c r="H10" s="271">
        <v>10</v>
      </c>
      <c r="I10" s="17">
        <v>0</v>
      </c>
      <c r="J10" s="271">
        <v>57.5</v>
      </c>
      <c r="K10" s="17">
        <v>40</v>
      </c>
      <c r="L10" s="271">
        <v>124.07</v>
      </c>
      <c r="M10" s="271">
        <v>1024</v>
      </c>
      <c r="N10" s="271">
        <v>34.5</v>
      </c>
      <c r="O10" s="58"/>
      <c r="P10" s="441">
        <f t="shared" si="5"/>
        <v>2001.25</v>
      </c>
      <c r="Q10" s="441">
        <f t="shared" si="0"/>
        <v>3271.32</v>
      </c>
      <c r="R10" s="533"/>
      <c r="S10" s="441" t="e">
        <f t="shared" si="6"/>
        <v>#REF!</v>
      </c>
      <c r="T10" s="441" t="e">
        <f t="shared" si="7"/>
        <v>#REF!</v>
      </c>
      <c r="U10" s="533"/>
      <c r="V10" s="441" t="e">
        <f>MAX(V$5:V$6)+IF($B$2="mil",1,0.0254)*DDR2Specs!$B$3</f>
        <v>#REF!</v>
      </c>
      <c r="W10" s="441" t="e">
        <f>MIN(V$5:V$6)+IF($B$2="mil",1,0.0254)*DDR2Specs!$C$3</f>
        <v>#REF!</v>
      </c>
      <c r="X10" s="18"/>
      <c r="Y10" s="534" t="e">
        <f t="shared" si="8"/>
        <v>#REF!</v>
      </c>
      <c r="Z10" s="447" t="e">
        <f t="shared" si="9"/>
        <v>#REF!</v>
      </c>
      <c r="AA10" s="18"/>
      <c r="AB10" s="441" t="e">
        <f>MAX(AB$5:AB$6)+IF($B$2="mil",1,0.0254)*DDR2Specs!$E$3</f>
        <v>#REF!</v>
      </c>
      <c r="AC10" s="441" t="e">
        <f>MIN(AB$5:AB$6)+IF($B$2="mil",1,0.0254)*DDR2Specs!$F$3</f>
        <v>#REF!</v>
      </c>
      <c r="AD10" s="18"/>
      <c r="AE10" s="534" t="e">
        <f t="shared" si="1"/>
        <v>#REF!</v>
      </c>
      <c r="AF10" s="447" t="e">
        <f t="shared" si="2"/>
        <v>#REF!</v>
      </c>
      <c r="AG10" s="447" t="e">
        <f t="shared" si="10"/>
        <v>#REF!</v>
      </c>
      <c r="AH10" s="447" t="e">
        <f t="shared" si="11"/>
        <v>#REF!</v>
      </c>
      <c r="AI10" s="447" t="e">
        <f t="shared" si="3"/>
        <v>#REF!</v>
      </c>
      <c r="AJ10" s="447" t="e">
        <f t="shared" ca="1" si="12"/>
        <v>#NAME?</v>
      </c>
      <c r="AK10" s="447" t="e">
        <f t="shared" si="13"/>
        <v>#REF!</v>
      </c>
      <c r="AL10" s="447" t="e">
        <f t="shared" si="14"/>
        <v>#REF!</v>
      </c>
      <c r="AM10" s="447" t="e">
        <f t="shared" ca="1" si="15"/>
        <v>#NAME?</v>
      </c>
      <c r="AN10" s="447" t="e">
        <f t="shared" ca="1" si="16"/>
        <v>#NAME?</v>
      </c>
      <c r="AO10" s="447" t="e">
        <f t="shared" si="17"/>
        <v>#REF!</v>
      </c>
      <c r="AP10" s="447" t="e">
        <f t="shared" si="18"/>
        <v>#REF!</v>
      </c>
      <c r="AQ10" s="447" t="e">
        <f t="shared" si="19"/>
        <v>#REF!</v>
      </c>
      <c r="AR10" s="447" t="e">
        <f t="shared" si="20"/>
        <v>#REF!</v>
      </c>
      <c r="AS10" s="18"/>
      <c r="AT10" s="2" t="e">
        <f t="shared" ca="1" si="4"/>
        <v>#REF!</v>
      </c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</row>
    <row r="11" spans="1:62" x14ac:dyDescent="0.2">
      <c r="A11" s="92" t="s">
        <v>173</v>
      </c>
      <c r="B11" s="433" t="s">
        <v>549</v>
      </c>
      <c r="C11" s="584">
        <v>371.81102362204729</v>
      </c>
      <c r="D11" s="16"/>
      <c r="E11" s="17">
        <v>29.7</v>
      </c>
      <c r="F11" s="17">
        <v>0</v>
      </c>
      <c r="G11" s="271">
        <v>1990</v>
      </c>
      <c r="H11" s="271">
        <v>10</v>
      </c>
      <c r="I11" s="17">
        <v>0</v>
      </c>
      <c r="J11" s="271">
        <v>47.5</v>
      </c>
      <c r="K11" s="17">
        <v>40</v>
      </c>
      <c r="L11" s="271">
        <v>52.5</v>
      </c>
      <c r="M11" s="271">
        <v>1060</v>
      </c>
      <c r="N11" s="271">
        <v>76.09</v>
      </c>
      <c r="O11" s="58"/>
      <c r="P11" s="441">
        <f t="shared" si="5"/>
        <v>2029.7</v>
      </c>
      <c r="Q11" s="441">
        <f t="shared" si="0"/>
        <v>3295.79</v>
      </c>
      <c r="R11" s="533"/>
      <c r="S11" s="441" t="e">
        <f t="shared" si="6"/>
        <v>#REF!</v>
      </c>
      <c r="T11" s="441" t="e">
        <f t="shared" si="7"/>
        <v>#REF!</v>
      </c>
      <c r="U11" s="533"/>
      <c r="V11" s="441" t="e">
        <f>MAX(V$5:V$6)+IF($B$2="mil",1,0.0254)*DDR2Specs!$B$3</f>
        <v>#REF!</v>
      </c>
      <c r="W11" s="441" t="e">
        <f>MIN(V$5:V$6)+IF($B$2="mil",1,0.0254)*DDR2Specs!$C$3</f>
        <v>#REF!</v>
      </c>
      <c r="X11" s="18"/>
      <c r="Y11" s="534" t="e">
        <f t="shared" si="8"/>
        <v>#REF!</v>
      </c>
      <c r="Z11" s="447" t="e">
        <f t="shared" si="9"/>
        <v>#REF!</v>
      </c>
      <c r="AA11" s="18"/>
      <c r="AB11" s="441" t="e">
        <f>MAX(AB$5:AB$6)+IF($B$2="mil",1,0.0254)*DDR2Specs!$E$3</f>
        <v>#REF!</v>
      </c>
      <c r="AC11" s="441" t="e">
        <f>MIN(AB$5:AB$6)+IF($B$2="mil",1,0.0254)*DDR2Specs!$F$3</f>
        <v>#REF!</v>
      </c>
      <c r="AD11" s="18"/>
      <c r="AE11" s="534" t="e">
        <f t="shared" si="1"/>
        <v>#REF!</v>
      </c>
      <c r="AF11" s="447" t="e">
        <f t="shared" si="2"/>
        <v>#REF!</v>
      </c>
      <c r="AG11" s="447" t="e">
        <f t="shared" si="10"/>
        <v>#REF!</v>
      </c>
      <c r="AH11" s="447" t="e">
        <f t="shared" si="11"/>
        <v>#REF!</v>
      </c>
      <c r="AI11" s="447" t="e">
        <f t="shared" si="3"/>
        <v>#REF!</v>
      </c>
      <c r="AJ11" s="447" t="e">
        <f t="shared" ca="1" si="12"/>
        <v>#NAME?</v>
      </c>
      <c r="AK11" s="447" t="e">
        <f t="shared" si="13"/>
        <v>#REF!</v>
      </c>
      <c r="AL11" s="447" t="e">
        <f t="shared" si="14"/>
        <v>#REF!</v>
      </c>
      <c r="AM11" s="447" t="e">
        <f t="shared" ca="1" si="15"/>
        <v>#NAME?</v>
      </c>
      <c r="AN11" s="447" t="e">
        <f t="shared" ca="1" si="16"/>
        <v>#NAME?</v>
      </c>
      <c r="AO11" s="447" t="e">
        <f t="shared" si="17"/>
        <v>#REF!</v>
      </c>
      <c r="AP11" s="447" t="e">
        <f t="shared" si="18"/>
        <v>#REF!</v>
      </c>
      <c r="AQ11" s="447" t="e">
        <f t="shared" si="19"/>
        <v>#REF!</v>
      </c>
      <c r="AR11" s="447" t="e">
        <f t="shared" si="20"/>
        <v>#REF!</v>
      </c>
      <c r="AS11" s="18"/>
      <c r="AT11" s="2" t="e">
        <f t="shared" ca="1" si="4"/>
        <v>#REF!</v>
      </c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</row>
    <row r="12" spans="1:62" x14ac:dyDescent="0.2">
      <c r="A12" s="92" t="s">
        <v>174</v>
      </c>
      <c r="B12" s="433" t="s">
        <v>547</v>
      </c>
      <c r="C12" s="584">
        <v>392.75590551181108</v>
      </c>
      <c r="D12" s="16"/>
      <c r="E12" s="17">
        <v>29.7</v>
      </c>
      <c r="F12" s="17">
        <v>0</v>
      </c>
      <c r="G12" s="271">
        <v>1970</v>
      </c>
      <c r="H12" s="271">
        <v>10</v>
      </c>
      <c r="I12" s="17">
        <v>0</v>
      </c>
      <c r="J12" s="271">
        <v>51.64</v>
      </c>
      <c r="K12" s="17">
        <v>40</v>
      </c>
      <c r="L12" s="271">
        <v>46.64</v>
      </c>
      <c r="M12" s="271">
        <v>1056</v>
      </c>
      <c r="N12" s="271">
        <v>86.37</v>
      </c>
      <c r="O12" s="58"/>
      <c r="P12" s="441">
        <f t="shared" si="5"/>
        <v>2009.7</v>
      </c>
      <c r="Q12" s="441">
        <f t="shared" si="0"/>
        <v>3280.35</v>
      </c>
      <c r="R12" s="533"/>
      <c r="S12" s="441" t="e">
        <f t="shared" si="6"/>
        <v>#REF!</v>
      </c>
      <c r="T12" s="441" t="e">
        <f t="shared" si="7"/>
        <v>#REF!</v>
      </c>
      <c r="U12" s="533"/>
      <c r="V12" s="441" t="e">
        <f>MAX(V$5:V$6)+IF($B$2="mil",1,0.0254)*DDR2Specs!$B$3</f>
        <v>#REF!</v>
      </c>
      <c r="W12" s="441" t="e">
        <f>MIN(V$5:V$6)+IF($B$2="mil",1,0.0254)*DDR2Specs!$C$3</f>
        <v>#REF!</v>
      </c>
      <c r="X12" s="18"/>
      <c r="Y12" s="534" t="e">
        <f t="shared" si="8"/>
        <v>#REF!</v>
      </c>
      <c r="Z12" s="447" t="e">
        <f t="shared" si="9"/>
        <v>#REF!</v>
      </c>
      <c r="AA12" s="18"/>
      <c r="AB12" s="441" t="e">
        <f>MAX(AB$5:AB$6)+IF($B$2="mil",1,0.0254)*DDR2Specs!$E$3</f>
        <v>#REF!</v>
      </c>
      <c r="AC12" s="441" t="e">
        <f>MIN(AB$5:AB$6)+IF($B$2="mil",1,0.0254)*DDR2Specs!$F$3</f>
        <v>#REF!</v>
      </c>
      <c r="AD12" s="18"/>
      <c r="AE12" s="534" t="e">
        <f t="shared" si="1"/>
        <v>#REF!</v>
      </c>
      <c r="AF12" s="447" t="e">
        <f t="shared" si="2"/>
        <v>#REF!</v>
      </c>
      <c r="AG12" s="447" t="e">
        <f t="shared" si="10"/>
        <v>#REF!</v>
      </c>
      <c r="AH12" s="447" t="e">
        <f t="shared" si="11"/>
        <v>#REF!</v>
      </c>
      <c r="AI12" s="447" t="e">
        <f t="shared" si="3"/>
        <v>#REF!</v>
      </c>
      <c r="AJ12" s="447" t="e">
        <f t="shared" ca="1" si="12"/>
        <v>#NAME?</v>
      </c>
      <c r="AK12" s="447" t="e">
        <f t="shared" si="13"/>
        <v>#REF!</v>
      </c>
      <c r="AL12" s="447" t="e">
        <f t="shared" si="14"/>
        <v>#REF!</v>
      </c>
      <c r="AM12" s="447" t="e">
        <f t="shared" ca="1" si="15"/>
        <v>#NAME?</v>
      </c>
      <c r="AN12" s="447" t="e">
        <f t="shared" ca="1" si="16"/>
        <v>#NAME?</v>
      </c>
      <c r="AO12" s="447" t="e">
        <f t="shared" si="17"/>
        <v>#REF!</v>
      </c>
      <c r="AP12" s="447" t="e">
        <f t="shared" si="18"/>
        <v>#REF!</v>
      </c>
      <c r="AQ12" s="447" t="e">
        <f t="shared" si="19"/>
        <v>#REF!</v>
      </c>
      <c r="AR12" s="447" t="e">
        <f t="shared" si="20"/>
        <v>#REF!</v>
      </c>
      <c r="AS12" s="18"/>
      <c r="AT12" s="2" t="e">
        <f t="shared" ca="1" si="4"/>
        <v>#REF!</v>
      </c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</row>
    <row r="13" spans="1:62" x14ac:dyDescent="0.2">
      <c r="A13" s="92" t="s">
        <v>175</v>
      </c>
      <c r="B13" s="433" t="s">
        <v>391</v>
      </c>
      <c r="C13" s="584">
        <v>348.07086614173227</v>
      </c>
      <c r="D13" s="16"/>
      <c r="E13" s="17">
        <v>29.7</v>
      </c>
      <c r="F13" s="17">
        <v>0</v>
      </c>
      <c r="G13" s="271">
        <v>2015</v>
      </c>
      <c r="H13" s="271">
        <v>10</v>
      </c>
      <c r="I13" s="17">
        <v>0</v>
      </c>
      <c r="J13" s="271">
        <v>84.78</v>
      </c>
      <c r="K13" s="17">
        <v>40</v>
      </c>
      <c r="L13" s="271">
        <v>102</v>
      </c>
      <c r="M13" s="271">
        <v>990</v>
      </c>
      <c r="N13" s="271">
        <v>76.09</v>
      </c>
      <c r="O13" s="58"/>
      <c r="P13" s="441">
        <f t="shared" si="5"/>
        <v>2054.6999999999998</v>
      </c>
      <c r="Q13" s="441">
        <f t="shared" si="0"/>
        <v>3337.57</v>
      </c>
      <c r="R13" s="533"/>
      <c r="S13" s="441" t="e">
        <f t="shared" si="6"/>
        <v>#REF!</v>
      </c>
      <c r="T13" s="441" t="e">
        <f t="shared" si="7"/>
        <v>#REF!</v>
      </c>
      <c r="U13" s="533"/>
      <c r="V13" s="441" t="e">
        <f>MAX(V$5:V$6)+IF($B$2="mil",1,0.0254)*DDR2Specs!$B$3</f>
        <v>#REF!</v>
      </c>
      <c r="W13" s="441" t="e">
        <f>MIN(V$5:V$6)+IF($B$2="mil",1,0.0254)*DDR2Specs!$C$3</f>
        <v>#REF!</v>
      </c>
      <c r="X13" s="18"/>
      <c r="Y13" s="534" t="e">
        <f t="shared" si="8"/>
        <v>#REF!</v>
      </c>
      <c r="Z13" s="447" t="e">
        <f t="shared" si="9"/>
        <v>#REF!</v>
      </c>
      <c r="AA13" s="18"/>
      <c r="AB13" s="441" t="e">
        <f>MAX(AB$5:AB$6)+IF($B$2="mil",1,0.0254)*DDR2Specs!$E$3</f>
        <v>#REF!</v>
      </c>
      <c r="AC13" s="441" t="e">
        <f>MIN(AB$5:AB$6)+IF($B$2="mil",1,0.0254)*DDR2Specs!$F$3</f>
        <v>#REF!</v>
      </c>
      <c r="AD13" s="18"/>
      <c r="AE13" s="534" t="e">
        <f t="shared" si="1"/>
        <v>#REF!</v>
      </c>
      <c r="AF13" s="447" t="e">
        <f t="shared" si="2"/>
        <v>#REF!</v>
      </c>
      <c r="AG13" s="447" t="e">
        <f t="shared" si="10"/>
        <v>#REF!</v>
      </c>
      <c r="AH13" s="447" t="e">
        <f t="shared" si="11"/>
        <v>#REF!</v>
      </c>
      <c r="AI13" s="447" t="e">
        <f t="shared" si="3"/>
        <v>#REF!</v>
      </c>
      <c r="AJ13" s="447" t="e">
        <f t="shared" ca="1" si="12"/>
        <v>#NAME?</v>
      </c>
      <c r="AK13" s="447" t="e">
        <f t="shared" si="13"/>
        <v>#REF!</v>
      </c>
      <c r="AL13" s="447" t="e">
        <f t="shared" si="14"/>
        <v>#REF!</v>
      </c>
      <c r="AM13" s="447" t="e">
        <f t="shared" ca="1" si="15"/>
        <v>#NAME?</v>
      </c>
      <c r="AN13" s="447" t="e">
        <f t="shared" ca="1" si="16"/>
        <v>#NAME?</v>
      </c>
      <c r="AO13" s="447" t="e">
        <f t="shared" si="17"/>
        <v>#REF!</v>
      </c>
      <c r="AP13" s="447" t="e">
        <f t="shared" si="18"/>
        <v>#REF!</v>
      </c>
      <c r="AQ13" s="447" t="e">
        <f t="shared" si="19"/>
        <v>#REF!</v>
      </c>
      <c r="AR13" s="447" t="e">
        <f t="shared" si="20"/>
        <v>#REF!</v>
      </c>
      <c r="AS13" s="18"/>
      <c r="AT13" s="2" t="e">
        <f t="shared" ca="1" si="4"/>
        <v>#REF!</v>
      </c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</row>
    <row r="14" spans="1:62" x14ac:dyDescent="0.2">
      <c r="A14" s="92" t="s">
        <v>176</v>
      </c>
      <c r="B14" s="433" t="s">
        <v>546</v>
      </c>
      <c r="C14" s="584">
        <v>531.10236220472439</v>
      </c>
      <c r="D14" s="16"/>
      <c r="E14" s="17">
        <v>29.7</v>
      </c>
      <c r="F14" s="17">
        <v>0</v>
      </c>
      <c r="G14" s="271">
        <v>1833</v>
      </c>
      <c r="H14" s="271">
        <v>10</v>
      </c>
      <c r="I14" s="17">
        <v>0</v>
      </c>
      <c r="J14" s="271">
        <v>49.81</v>
      </c>
      <c r="K14" s="17">
        <v>40</v>
      </c>
      <c r="L14" s="271">
        <v>52.5</v>
      </c>
      <c r="M14" s="271">
        <v>1056</v>
      </c>
      <c r="N14" s="271">
        <v>76.06</v>
      </c>
      <c r="O14" s="58"/>
      <c r="P14" s="441">
        <f t="shared" si="5"/>
        <v>1872.7</v>
      </c>
      <c r="Q14" s="441">
        <f t="shared" si="0"/>
        <v>3137.07</v>
      </c>
      <c r="R14" s="533"/>
      <c r="S14" s="441" t="e">
        <f t="shared" si="6"/>
        <v>#REF!</v>
      </c>
      <c r="T14" s="441" t="e">
        <f t="shared" si="7"/>
        <v>#REF!</v>
      </c>
      <c r="U14" s="533"/>
      <c r="V14" s="441" t="e">
        <f>MAX(V$5:V$6)+IF($B$2="mil",1,0.0254)*DDR2Specs!$B$3</f>
        <v>#REF!</v>
      </c>
      <c r="W14" s="441" t="e">
        <f>MIN(V$5:V$6)+IF($B$2="mil",1,0.0254)*DDR2Specs!$C$3</f>
        <v>#REF!</v>
      </c>
      <c r="X14" s="18"/>
      <c r="Y14" s="534" t="e">
        <f t="shared" si="8"/>
        <v>#REF!</v>
      </c>
      <c r="Z14" s="447" t="e">
        <f t="shared" si="9"/>
        <v>#REF!</v>
      </c>
      <c r="AA14" s="18"/>
      <c r="AB14" s="441" t="e">
        <f>MAX(AB$5:AB$6)+IF($B$2="mil",1,0.0254)*DDR2Specs!$E$3</f>
        <v>#REF!</v>
      </c>
      <c r="AC14" s="441" t="e">
        <f>MIN(AB$5:AB$6)+IF($B$2="mil",1,0.0254)*DDR2Specs!$F$3</f>
        <v>#REF!</v>
      </c>
      <c r="AD14" s="18"/>
      <c r="AE14" s="534" t="e">
        <f t="shared" si="1"/>
        <v>#REF!</v>
      </c>
      <c r="AF14" s="447" t="e">
        <f t="shared" si="2"/>
        <v>#REF!</v>
      </c>
      <c r="AG14" s="447" t="e">
        <f t="shared" si="10"/>
        <v>#REF!</v>
      </c>
      <c r="AH14" s="447" t="e">
        <f t="shared" si="11"/>
        <v>#REF!</v>
      </c>
      <c r="AI14" s="447" t="e">
        <f t="shared" si="3"/>
        <v>#REF!</v>
      </c>
      <c r="AJ14" s="447" t="e">
        <f t="shared" ca="1" si="12"/>
        <v>#NAME?</v>
      </c>
      <c r="AK14" s="447" t="e">
        <f t="shared" si="13"/>
        <v>#REF!</v>
      </c>
      <c r="AL14" s="447" t="e">
        <f t="shared" si="14"/>
        <v>#REF!</v>
      </c>
      <c r="AM14" s="447" t="e">
        <f t="shared" ca="1" si="15"/>
        <v>#NAME?</v>
      </c>
      <c r="AN14" s="447" t="e">
        <f t="shared" ca="1" si="16"/>
        <v>#NAME?</v>
      </c>
      <c r="AO14" s="447" t="e">
        <f t="shared" si="17"/>
        <v>#REF!</v>
      </c>
      <c r="AP14" s="447" t="e">
        <f t="shared" si="18"/>
        <v>#REF!</v>
      </c>
      <c r="AQ14" s="447" t="e">
        <f t="shared" si="19"/>
        <v>#REF!</v>
      </c>
      <c r="AR14" s="447" t="e">
        <f t="shared" si="20"/>
        <v>#REF!</v>
      </c>
      <c r="AS14" s="18"/>
      <c r="AT14" s="2" t="e">
        <f t="shared" ca="1" si="4"/>
        <v>#REF!</v>
      </c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</row>
    <row r="15" spans="1:62" x14ac:dyDescent="0.2">
      <c r="A15" s="92" t="s">
        <v>177</v>
      </c>
      <c r="B15" s="437" t="s">
        <v>553</v>
      </c>
      <c r="C15" s="584">
        <v>364.88188976377955</v>
      </c>
      <c r="D15" s="16"/>
      <c r="E15" s="17">
        <v>29.7</v>
      </c>
      <c r="F15" s="17">
        <v>0</v>
      </c>
      <c r="G15" s="271">
        <v>2000</v>
      </c>
      <c r="H15" s="271">
        <v>10</v>
      </c>
      <c r="I15" s="17">
        <v>0</v>
      </c>
      <c r="J15" s="271">
        <v>55.78</v>
      </c>
      <c r="K15" s="17">
        <v>40</v>
      </c>
      <c r="L15" s="271">
        <v>54.57</v>
      </c>
      <c r="M15" s="271">
        <v>1092</v>
      </c>
      <c r="N15" s="271">
        <v>31.49</v>
      </c>
      <c r="O15" s="58"/>
      <c r="P15" s="441">
        <f t="shared" si="5"/>
        <v>2039.7</v>
      </c>
      <c r="Q15" s="441">
        <f>SUM(E15:G15,I15:N15)</f>
        <v>3303.54</v>
      </c>
      <c r="R15" s="533"/>
      <c r="S15" s="441" t="e">
        <f t="shared" si="6"/>
        <v>#REF!</v>
      </c>
      <c r="T15" s="441" t="e">
        <f t="shared" si="7"/>
        <v>#REF!</v>
      </c>
      <c r="U15" s="533"/>
      <c r="V15" s="441" t="e">
        <f>MAX(V$5:V$6)+IF($B$2="mil",1,0.0254)*DDR2Specs!$B$3</f>
        <v>#REF!</v>
      </c>
      <c r="W15" s="441" t="e">
        <f>MIN(V$5:V$6)+IF($B$2="mil",1,0.0254)*DDR2Specs!$C$3</f>
        <v>#REF!</v>
      </c>
      <c r="X15" s="18"/>
      <c r="Y15" s="534" t="e">
        <f t="shared" si="8"/>
        <v>#REF!</v>
      </c>
      <c r="Z15" s="447" t="e">
        <f t="shared" si="9"/>
        <v>#REF!</v>
      </c>
      <c r="AA15" s="18"/>
      <c r="AB15" s="441" t="e">
        <f>MAX(AB$5:AB$6)+IF($B$2="mil",1,0.0254)*DDR2Specs!$E$3</f>
        <v>#REF!</v>
      </c>
      <c r="AC15" s="441" t="e">
        <f>MIN(AB$5:AB$6)+IF($B$2="mil",1,0.0254)*DDR2Specs!$F$3</f>
        <v>#REF!</v>
      </c>
      <c r="AD15" s="18"/>
      <c r="AE15" s="534" t="e">
        <f t="shared" si="1"/>
        <v>#REF!</v>
      </c>
      <c r="AF15" s="447" t="e">
        <f t="shared" si="2"/>
        <v>#REF!</v>
      </c>
      <c r="AG15" s="447" t="e">
        <f t="shared" si="10"/>
        <v>#REF!</v>
      </c>
      <c r="AH15" s="447" t="e">
        <f t="shared" si="11"/>
        <v>#REF!</v>
      </c>
      <c r="AI15" s="447" t="e">
        <f t="shared" si="3"/>
        <v>#REF!</v>
      </c>
      <c r="AJ15" s="447" t="e">
        <f t="shared" ca="1" si="12"/>
        <v>#NAME?</v>
      </c>
      <c r="AK15" s="447" t="e">
        <f t="shared" si="13"/>
        <v>#REF!</v>
      </c>
      <c r="AL15" s="447" t="e">
        <f>IF($L15&lt;=IF($B$2="mil",1,0.0254)*125,"Pass",IF($B$2="mil",1,0.0254)*125-$L15)</f>
        <v>#REF!</v>
      </c>
      <c r="AM15" s="447" t="e">
        <f t="shared" ca="1" si="15"/>
        <v>#NAME?</v>
      </c>
      <c r="AN15" s="447" t="e">
        <f t="shared" ca="1" si="16"/>
        <v>#NAME?</v>
      </c>
      <c r="AO15" s="447" t="e">
        <f t="shared" si="17"/>
        <v>#REF!</v>
      </c>
      <c r="AP15" s="447" t="e">
        <f t="shared" si="18"/>
        <v>#REF!</v>
      </c>
      <c r="AQ15" s="447" t="e">
        <f t="shared" si="19"/>
        <v>#REF!</v>
      </c>
      <c r="AR15" s="447" t="e">
        <f t="shared" si="20"/>
        <v>#REF!</v>
      </c>
      <c r="AS15" s="18"/>
      <c r="AT15" s="2" t="e">
        <f t="shared" ca="1" si="4"/>
        <v>#REF!</v>
      </c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</row>
    <row r="16" spans="1:62" x14ac:dyDescent="0.2">
      <c r="A16" s="94" t="s">
        <v>246</v>
      </c>
      <c r="B16" s="438"/>
      <c r="C16" s="585"/>
      <c r="D16" s="51"/>
      <c r="E16" s="68" t="s">
        <v>69</v>
      </c>
      <c r="F16" s="68"/>
      <c r="G16" s="265"/>
      <c r="H16" s="265"/>
      <c r="I16" s="265"/>
      <c r="J16" s="265"/>
      <c r="K16" s="265"/>
      <c r="L16" s="265"/>
      <c r="M16" s="265"/>
      <c r="N16" s="265"/>
      <c r="O16" s="8"/>
      <c r="P16" s="68"/>
      <c r="Q16" s="68"/>
      <c r="R16" s="68"/>
      <c r="S16" s="539"/>
      <c r="T16" s="539"/>
      <c r="U16" s="539"/>
      <c r="V16" s="539"/>
      <c r="W16" s="540"/>
      <c r="X16" s="540"/>
      <c r="Y16" s="541"/>
      <c r="Z16" s="15"/>
      <c r="AA16" s="540"/>
      <c r="AB16" s="539"/>
      <c r="AC16" s="540"/>
      <c r="AD16" s="540"/>
      <c r="AE16" s="541"/>
      <c r="AF16" s="15"/>
      <c r="AG16" s="15"/>
      <c r="AH16" s="15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69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</row>
    <row r="17" spans="1:62" x14ac:dyDescent="0.2">
      <c r="A17" s="103" t="str">
        <f>'DDR2 Strobes - 1x16'!$A$9</f>
        <v>SA_DQS1</v>
      </c>
      <c r="B17" s="112" t="str">
        <f>'DDR2 Strobes - 1x16'!$B$9</f>
        <v>Y24</v>
      </c>
      <c r="C17" s="586"/>
      <c r="D17" s="44"/>
      <c r="E17" s="67"/>
      <c r="F17" s="67"/>
      <c r="G17" s="266"/>
      <c r="H17" s="266"/>
      <c r="I17" s="266"/>
      <c r="J17" s="266"/>
      <c r="K17" s="266"/>
      <c r="L17" s="266"/>
      <c r="M17" s="266"/>
      <c r="N17" s="266"/>
      <c r="O17" s="67"/>
      <c r="P17" s="67"/>
      <c r="Q17" s="67"/>
      <c r="R17" s="67"/>
      <c r="S17" s="48"/>
      <c r="T17" s="48"/>
      <c r="U17" s="48"/>
      <c r="V17" s="48" t="e">
        <f>'DDR2 Strobes - 1x16'!$S$9</f>
        <v>#REF!</v>
      </c>
      <c r="W17" s="48"/>
      <c r="X17" s="48"/>
      <c r="Y17" s="48"/>
      <c r="Z17" s="542"/>
      <c r="AA17" s="48"/>
      <c r="AB17" s="48" t="e">
        <f>'DDR2 Strobes - 1x16'!$T$9</f>
        <v>#REF!</v>
      </c>
      <c r="AC17" s="48"/>
      <c r="AD17" s="48"/>
      <c r="AE17" s="48"/>
      <c r="AF17" s="542"/>
      <c r="AG17" s="542"/>
      <c r="AH17" s="542"/>
      <c r="AI17" s="542"/>
      <c r="AJ17" s="542"/>
      <c r="AK17" s="542"/>
      <c r="AL17" s="542"/>
      <c r="AM17" s="542"/>
      <c r="AN17" s="542"/>
      <c r="AO17" s="542"/>
      <c r="AP17" s="542"/>
      <c r="AQ17" s="542"/>
      <c r="AR17" s="542"/>
      <c r="AS17" s="48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</row>
    <row r="18" spans="1:62" x14ac:dyDescent="0.2">
      <c r="A18" s="103" t="str">
        <f>'DDR2 Strobes - 1x16'!$A$10</f>
        <v>SA_DQS1#</v>
      </c>
      <c r="B18" s="112" t="str">
        <f>'DDR2 Strobes - 1x16'!$B$10</f>
        <v>AA24</v>
      </c>
      <c r="C18" s="586"/>
      <c r="D18" s="44"/>
      <c r="E18" s="67"/>
      <c r="F18" s="67"/>
      <c r="G18" s="266"/>
      <c r="H18" s="266"/>
      <c r="I18" s="266"/>
      <c r="J18" s="266"/>
      <c r="K18" s="266"/>
      <c r="L18" s="266"/>
      <c r="M18" s="266"/>
      <c r="N18" s="266"/>
      <c r="O18" s="67"/>
      <c r="P18" s="67"/>
      <c r="Q18" s="536"/>
      <c r="R18" s="536"/>
      <c r="S18" s="537"/>
      <c r="T18" s="537"/>
      <c r="U18" s="48"/>
      <c r="V18" s="48" t="e">
        <f>'DDR2 Strobes - 1x16'!$S$10</f>
        <v>#REF!</v>
      </c>
      <c r="W18" s="48"/>
      <c r="X18" s="48"/>
      <c r="Y18" s="48"/>
      <c r="Z18" s="542"/>
      <c r="AA18" s="48"/>
      <c r="AB18" s="48" t="e">
        <f>'DDR2 Strobes - 1x16'!$T$10</f>
        <v>#REF!</v>
      </c>
      <c r="AC18" s="48"/>
      <c r="AD18" s="48"/>
      <c r="AE18" s="48"/>
      <c r="AF18" s="542"/>
      <c r="AG18" s="542"/>
      <c r="AH18" s="542"/>
      <c r="AI18" s="543"/>
      <c r="AJ18" s="543"/>
      <c r="AK18" s="543"/>
      <c r="AL18" s="543"/>
      <c r="AM18" s="543"/>
      <c r="AN18" s="543"/>
      <c r="AO18" s="543"/>
      <c r="AP18" s="543"/>
      <c r="AQ18" s="543"/>
      <c r="AR18" s="543"/>
      <c r="AS18" s="48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</row>
    <row r="19" spans="1:62" x14ac:dyDescent="0.2">
      <c r="A19" s="92" t="s">
        <v>178</v>
      </c>
      <c r="B19" s="433" t="s">
        <v>544</v>
      </c>
      <c r="C19" s="584">
        <v>612.67716535433067</v>
      </c>
      <c r="D19" s="16"/>
      <c r="E19" s="17">
        <v>29.7</v>
      </c>
      <c r="F19" s="17">
        <v>0</v>
      </c>
      <c r="G19" s="393">
        <v>1812.89</v>
      </c>
      <c r="H19" s="271">
        <v>77.03</v>
      </c>
      <c r="I19" s="17">
        <v>0</v>
      </c>
      <c r="J19" s="271">
        <v>61.64</v>
      </c>
      <c r="K19" s="17">
        <v>40</v>
      </c>
      <c r="L19" s="271">
        <v>89.93</v>
      </c>
      <c r="M19" s="271">
        <v>1055</v>
      </c>
      <c r="N19" s="271">
        <v>79</v>
      </c>
      <c r="O19" s="58"/>
      <c r="P19" s="441">
        <f xml:space="preserve"> E19+F19+G19+H19</f>
        <v>1919.6200000000001</v>
      </c>
      <c r="Q19" s="441">
        <f t="shared" ref="Q19:Q26" si="21">SUM(E19:G19,I19:N19)</f>
        <v>3168.1600000000003</v>
      </c>
      <c r="R19" s="533"/>
      <c r="S19" s="441" t="e">
        <f>P19+IF($B$2="mil",1,0.0254)*C19</f>
        <v>#REF!</v>
      </c>
      <c r="T19" s="441" t="e">
        <f>Q19+IF($B$2="mil",1,0.0254)*C19</f>
        <v>#REF!</v>
      </c>
      <c r="U19" s="533"/>
      <c r="V19" s="441" t="e">
        <f>MAX(V$17:V$18)+IF($B$2="mil",1,0.0254)*DDR2Specs!$B$3</f>
        <v>#REF!</v>
      </c>
      <c r="W19" s="441" t="e">
        <f>MIN(V$17:V$18)+IF($B$2="mil",1,0.0254)*DDR2Specs!$C$3</f>
        <v>#REF!</v>
      </c>
      <c r="X19" s="18"/>
      <c r="Y19" s="534" t="e">
        <f>IF($S19&lt;$V19,$V19-$S19,"Pass")</f>
        <v>#REF!</v>
      </c>
      <c r="Z19" s="447" t="e">
        <f>IF($S19&gt;$W19,$S19-$W19,"Pass")</f>
        <v>#REF!</v>
      </c>
      <c r="AA19" s="18"/>
      <c r="AB19" s="441" t="e">
        <f>MAX(AB$17:AB$18)+IF($B$2="mil",1,0.0254)*DDR2Specs!$E$3</f>
        <v>#REF!</v>
      </c>
      <c r="AC19" s="441" t="e">
        <f>MIN(AB$17:AB$18)+IF($B$2="mil",1,0.0254)*DDR2Specs!$F$3</f>
        <v>#REF!</v>
      </c>
      <c r="AD19" s="18"/>
      <c r="AE19" s="534" t="e">
        <f t="shared" ref="AE19:AE27" si="22">IF($T19&lt;$AB19,$AB19-$T19,"Pass")</f>
        <v>#REF!</v>
      </c>
      <c r="AF19" s="447" t="e">
        <f t="shared" ref="AF19:AF27" si="23">IF($T19&gt;$AC19,$T19-$AC19,"Pass")</f>
        <v>#REF!</v>
      </c>
      <c r="AG19" s="447" t="e">
        <f t="shared" ref="AG19:AG27" si="24">IF($E19&lt;=IF($B$2="mil",1,0.0254)*50,"Pass",IF($B$2="mil",1,0.0254)*50-$E19)</f>
        <v>#REF!</v>
      </c>
      <c r="AH19" s="447" t="e">
        <f t="shared" ref="AH19:AH27" si="25">IF($F19&lt;=IF($B$2="mil",1,0.0254)*500,"Pass",IF($B$2="mil",1,0.0254)*500-$F19)</f>
        <v>#REF!</v>
      </c>
      <c r="AI19" s="447" t="e">
        <f t="shared" ref="AI19:AI27" si="26">IF($H19&lt;=IF($B$2="mil",1,0.0254)*250,"Pass",IF($B$2="mil",1,0.0254)*250-$H19)</f>
        <v>#REF!</v>
      </c>
      <c r="AJ19" s="447" t="e">
        <f t="shared" ref="AJ19:AJ27" ca="1" si="27">CheckLength(IF($B$2="mil",1,0.0254)*1125, IF($B$2="mil",1,0.0254)*125-J19, 0, I19,J19,0)</f>
        <v>#NAME?</v>
      </c>
      <c r="AK19" s="447" t="e">
        <f>IF($J19&lt;=IF($B$2="mil",1,0.0254)*125,"Pass",IF($B$2="mil",1,0.0254)*125-$J19)</f>
        <v>#REF!</v>
      </c>
      <c r="AL19" s="447" t="e">
        <f>IF($L19&lt;=IF($B$2="mil",1,0.0254)*125,"Pass",IF($B$2="mil",1,0.0254)*125-$L19)</f>
        <v>#REF!</v>
      </c>
      <c r="AM19" s="447" t="e">
        <f t="shared" ref="AM19:AM27" ca="1" si="28">CheckLength(IF($B$2="mil",1,0.0254)*1525, IF($B$2="mil",1,0.0254)*125-L19, IF($B$2="mil",1,0.0254)*150-N19, M19,L19,N19)</f>
        <v>#NAME?</v>
      </c>
      <c r="AN19" s="447" t="e">
        <f t="shared" ref="AN19:AN27" ca="1" si="29">CheckLength2(IF($B$2="mil",1,0.0254)*1400,M19,N19,0)</f>
        <v>#NAME?</v>
      </c>
      <c r="AO19" s="447" t="e">
        <f t="shared" ref="AO19:AO27" si="30">IF(AND($P19&gt;=IF($B$2="mil",1,0.0254)*500, $P19&lt;=IF($B$2="mil",1,0.0254)*4000),"Pass",IF($B$2="mil",1,0.0254)*4000-$P19)</f>
        <v>#REF!</v>
      </c>
      <c r="AP19" s="447" t="e">
        <f t="shared" ref="AP19:AP27" si="31">IF(AND($S19&gt;=IF($B$2="mil",1,0.0254)*500, $S19&lt;=IF($B$2="mil",1,0.0254)*4500),"Pass",IF($B$2="mil",1,0.0254)*4500-$S19)</f>
        <v>#REF!</v>
      </c>
      <c r="AQ19" s="447" t="e">
        <f t="shared" ref="AQ19:AQ27" si="32">IF(AND($Q19&gt;=IF($B$2="mil",1,0.0254)*500, $Q19&lt;=IF($B$2="mil",1,0.0254)*5500),"Pass",IF($B$2="mil",1,0.0254)*5500-$Q19)</f>
        <v>#REF!</v>
      </c>
      <c r="AR19" s="447" t="e">
        <f t="shared" ref="AR19:AR27" si="33">IF(AND($T19&gt;=IF($B$2="mil",1,0.0254)*500, $T19&lt;=IF($B$2="mil",1,0.0254)*6000),"Pass",IF($B$2="mil",1,0.0254)*6000-$T19)</f>
        <v>#REF!</v>
      </c>
      <c r="AS19" s="18"/>
      <c r="AT19" s="2" t="e">
        <f t="shared" ref="AT19:AT27" ca="1" si="34">IF(AND(AG19="Pass",AP19="Pass",AI19="Pass",AH19="Pass",AO19="Pass",Y19="Pass",Z19="Pass",AN19="Pass",AM19="Pass",AL19="Pass",AK19="Pass",AJ19="Pass",AE19="Pass",AF19="Pass",AQ19="Pass",AR19="Pass"),"Pass","Fail")</f>
        <v>#REF!</v>
      </c>
      <c r="AU19" s="2" t="e">
        <f ca="1">IF(AND(AT19="Pass",AT20="Pass",AT21="Pass",AT22="Pass",AT23="Pass",AT24="Pass",AT25="Pass",AT26="Pass",AT27="Pass"),"Pass","Fail")</f>
        <v>#REF!</v>
      </c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</row>
    <row r="20" spans="1:62" x14ac:dyDescent="0.2">
      <c r="A20" s="92" t="s">
        <v>179</v>
      </c>
      <c r="B20" s="433" t="s">
        <v>545</v>
      </c>
      <c r="C20" s="584">
        <v>627.75590551181108</v>
      </c>
      <c r="D20" s="16"/>
      <c r="E20" s="17">
        <v>29.7</v>
      </c>
      <c r="F20" s="17">
        <v>0</v>
      </c>
      <c r="G20" s="393">
        <v>1768.11</v>
      </c>
      <c r="H20" s="271">
        <v>121.81</v>
      </c>
      <c r="I20" s="17">
        <v>0</v>
      </c>
      <c r="J20" s="271">
        <v>104.93</v>
      </c>
      <c r="K20" s="17">
        <v>40</v>
      </c>
      <c r="L20" s="271">
        <v>120.8</v>
      </c>
      <c r="M20" s="271">
        <v>990</v>
      </c>
      <c r="N20" s="271">
        <v>90</v>
      </c>
      <c r="O20" s="58"/>
      <c r="P20" s="441">
        <f t="shared" ref="P20:P27" si="35" xml:space="preserve"> E20+F20+G20+H20</f>
        <v>1919.62</v>
      </c>
      <c r="Q20" s="441">
        <f t="shared" si="21"/>
        <v>3143.54</v>
      </c>
      <c r="R20" s="533"/>
      <c r="S20" s="441" t="e">
        <f t="shared" ref="S20:S27" si="36">P20+IF($B$2="mil",1,0.0254)*C20</f>
        <v>#REF!</v>
      </c>
      <c r="T20" s="441" t="e">
        <f t="shared" ref="T20:T27" si="37">Q20+IF($B$2="mil",1,0.0254)*C20</f>
        <v>#REF!</v>
      </c>
      <c r="U20" s="533"/>
      <c r="V20" s="441" t="e">
        <f>MAX(V$17:V$18)+IF($B$2="mil",1,0.0254)*DDR2Specs!$B$3</f>
        <v>#REF!</v>
      </c>
      <c r="W20" s="441" t="e">
        <f>MIN(V$17:V$18)+IF($B$2="mil",1,0.0254)*DDR2Specs!$C$3</f>
        <v>#REF!</v>
      </c>
      <c r="X20" s="18"/>
      <c r="Y20" s="534" t="e">
        <f t="shared" ref="Y20:Y27" si="38">IF($S20&lt;$V20,$V20-$S20,"Pass")</f>
        <v>#REF!</v>
      </c>
      <c r="Z20" s="447" t="e">
        <f t="shared" ref="Z20:Z27" si="39">IF($S20&gt;$W20,$S20-$W20,"Pass")</f>
        <v>#REF!</v>
      </c>
      <c r="AA20" s="18"/>
      <c r="AB20" s="441" t="e">
        <f>MAX(AB$17:AB$18)+IF($B$2="mil",1,0.0254)*DDR2Specs!$E$3</f>
        <v>#REF!</v>
      </c>
      <c r="AC20" s="441" t="e">
        <f>MIN(AB$17:AB$18)+IF($B$2="mil",1,0.0254)*DDR2Specs!$F$3</f>
        <v>#REF!</v>
      </c>
      <c r="AD20" s="18"/>
      <c r="AE20" s="534" t="e">
        <f t="shared" si="22"/>
        <v>#REF!</v>
      </c>
      <c r="AF20" s="447" t="e">
        <f t="shared" si="23"/>
        <v>#REF!</v>
      </c>
      <c r="AG20" s="447" t="e">
        <f t="shared" si="24"/>
        <v>#REF!</v>
      </c>
      <c r="AH20" s="447" t="e">
        <f t="shared" si="25"/>
        <v>#REF!</v>
      </c>
      <c r="AI20" s="447" t="e">
        <f t="shared" si="26"/>
        <v>#REF!</v>
      </c>
      <c r="AJ20" s="447" t="e">
        <f t="shared" ca="1" si="27"/>
        <v>#NAME?</v>
      </c>
      <c r="AK20" s="447" t="e">
        <f t="shared" ref="AK20:AK27" si="40">IF($J20&lt;=IF($B$2="mil",1,0.0254)*125,"Pass",IF($B$2="mil",1,0.0254)*125-$J20)</f>
        <v>#REF!</v>
      </c>
      <c r="AL20" s="447" t="e">
        <f t="shared" ref="AL20:AL27" si="41">IF($L20&lt;=IF($B$2="mil",1,0.0254)*125,"Pass",IF($B$2="mil",1,0.0254)*125-$L20)</f>
        <v>#REF!</v>
      </c>
      <c r="AM20" s="447" t="e">
        <f t="shared" ca="1" si="28"/>
        <v>#NAME?</v>
      </c>
      <c r="AN20" s="447" t="e">
        <f t="shared" ca="1" si="29"/>
        <v>#NAME?</v>
      </c>
      <c r="AO20" s="447" t="e">
        <f t="shared" si="30"/>
        <v>#REF!</v>
      </c>
      <c r="AP20" s="447" t="e">
        <f t="shared" si="31"/>
        <v>#REF!</v>
      </c>
      <c r="AQ20" s="447" t="e">
        <f t="shared" si="32"/>
        <v>#REF!</v>
      </c>
      <c r="AR20" s="447" t="e">
        <f t="shared" si="33"/>
        <v>#REF!</v>
      </c>
      <c r="AS20" s="18"/>
      <c r="AT20" s="2" t="e">
        <f t="shared" ca="1" si="34"/>
        <v>#REF!</v>
      </c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</row>
    <row r="21" spans="1:62" x14ac:dyDescent="0.2">
      <c r="A21" s="92" t="s">
        <v>180</v>
      </c>
      <c r="B21" s="435" t="s">
        <v>157</v>
      </c>
      <c r="C21" s="584">
        <v>625.43307086614175</v>
      </c>
      <c r="D21" s="16"/>
      <c r="E21" s="17">
        <v>29.7</v>
      </c>
      <c r="F21" s="17">
        <v>0</v>
      </c>
      <c r="G21" s="393">
        <v>1760</v>
      </c>
      <c r="H21" s="271">
        <v>82.62</v>
      </c>
      <c r="I21" s="17">
        <v>0</v>
      </c>
      <c r="J21" s="271">
        <v>63.71</v>
      </c>
      <c r="K21" s="17">
        <v>40</v>
      </c>
      <c r="L21" s="271">
        <v>87.68</v>
      </c>
      <c r="M21" s="271">
        <v>1210</v>
      </c>
      <c r="N21" s="271">
        <v>34</v>
      </c>
      <c r="O21" s="58"/>
      <c r="P21" s="441">
        <f t="shared" si="35"/>
        <v>1872.3200000000002</v>
      </c>
      <c r="Q21" s="441">
        <f t="shared" si="21"/>
        <v>3225.09</v>
      </c>
      <c r="R21" s="533"/>
      <c r="S21" s="441" t="e">
        <f t="shared" si="36"/>
        <v>#REF!</v>
      </c>
      <c r="T21" s="441" t="e">
        <f t="shared" si="37"/>
        <v>#REF!</v>
      </c>
      <c r="U21" s="533"/>
      <c r="V21" s="441" t="e">
        <f>MAX(V$17:V$18)+IF($B$2="mil",1,0.0254)*DDR2Specs!$B$3</f>
        <v>#REF!</v>
      </c>
      <c r="W21" s="441" t="e">
        <f>MIN(V$17:V$18)+IF($B$2="mil",1,0.0254)*DDR2Specs!$C$3</f>
        <v>#REF!</v>
      </c>
      <c r="X21" s="18"/>
      <c r="Y21" s="534" t="e">
        <f t="shared" si="38"/>
        <v>#REF!</v>
      </c>
      <c r="Z21" s="447" t="e">
        <f t="shared" si="39"/>
        <v>#REF!</v>
      </c>
      <c r="AA21" s="18"/>
      <c r="AB21" s="441" t="e">
        <f>MAX(AB$17:AB$18)+IF($B$2="mil",1,0.0254)*DDR2Specs!$E$3</f>
        <v>#REF!</v>
      </c>
      <c r="AC21" s="441" t="e">
        <f>MIN(AB$17:AB$18)+IF($B$2="mil",1,0.0254)*DDR2Specs!$F$3</f>
        <v>#REF!</v>
      </c>
      <c r="AD21" s="18"/>
      <c r="AE21" s="534" t="e">
        <f t="shared" si="22"/>
        <v>#REF!</v>
      </c>
      <c r="AF21" s="447" t="e">
        <f t="shared" si="23"/>
        <v>#REF!</v>
      </c>
      <c r="AG21" s="447" t="e">
        <f t="shared" si="24"/>
        <v>#REF!</v>
      </c>
      <c r="AH21" s="447" t="e">
        <f t="shared" si="25"/>
        <v>#REF!</v>
      </c>
      <c r="AI21" s="447" t="e">
        <f t="shared" si="26"/>
        <v>#REF!</v>
      </c>
      <c r="AJ21" s="447" t="e">
        <f t="shared" ca="1" si="27"/>
        <v>#NAME?</v>
      </c>
      <c r="AK21" s="447" t="e">
        <f t="shared" si="40"/>
        <v>#REF!</v>
      </c>
      <c r="AL21" s="447" t="e">
        <f t="shared" si="41"/>
        <v>#REF!</v>
      </c>
      <c r="AM21" s="447" t="e">
        <f t="shared" ca="1" si="28"/>
        <v>#NAME?</v>
      </c>
      <c r="AN21" s="447" t="e">
        <f t="shared" ca="1" si="29"/>
        <v>#NAME?</v>
      </c>
      <c r="AO21" s="447" t="e">
        <f t="shared" si="30"/>
        <v>#REF!</v>
      </c>
      <c r="AP21" s="447" t="e">
        <f t="shared" si="31"/>
        <v>#REF!</v>
      </c>
      <c r="AQ21" s="447" t="e">
        <f t="shared" si="32"/>
        <v>#REF!</v>
      </c>
      <c r="AR21" s="447" t="e">
        <f t="shared" si="33"/>
        <v>#REF!</v>
      </c>
      <c r="AS21" s="18"/>
      <c r="AT21" s="2" t="e">
        <f t="shared" ca="1" si="34"/>
        <v>#REF!</v>
      </c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</row>
    <row r="22" spans="1:62" x14ac:dyDescent="0.2">
      <c r="A22" s="92" t="s">
        <v>181</v>
      </c>
      <c r="B22" s="435" t="s">
        <v>399</v>
      </c>
      <c r="C22" s="584">
        <v>667.04724409448829</v>
      </c>
      <c r="D22" s="16"/>
      <c r="E22" s="17">
        <v>29.7</v>
      </c>
      <c r="F22" s="17">
        <v>0</v>
      </c>
      <c r="G22" s="393">
        <v>1750</v>
      </c>
      <c r="H22" s="271">
        <v>124.41</v>
      </c>
      <c r="I22" s="17">
        <v>0</v>
      </c>
      <c r="J22" s="271">
        <v>102.86</v>
      </c>
      <c r="K22" s="17">
        <v>40</v>
      </c>
      <c r="L22" s="271">
        <v>120.25</v>
      </c>
      <c r="M22" s="271">
        <v>1042</v>
      </c>
      <c r="N22" s="271">
        <v>48</v>
      </c>
      <c r="O22" s="58"/>
      <c r="P22" s="441">
        <f t="shared" si="35"/>
        <v>1904.1100000000001</v>
      </c>
      <c r="Q22" s="441">
        <f t="shared" si="21"/>
        <v>3132.81</v>
      </c>
      <c r="R22" s="533"/>
      <c r="S22" s="441" t="e">
        <f t="shared" si="36"/>
        <v>#REF!</v>
      </c>
      <c r="T22" s="441" t="e">
        <f t="shared" si="37"/>
        <v>#REF!</v>
      </c>
      <c r="U22" s="533"/>
      <c r="V22" s="441" t="e">
        <f>MAX(V$17:V$18)+IF($B$2="mil",1,0.0254)*DDR2Specs!$B$3</f>
        <v>#REF!</v>
      </c>
      <c r="W22" s="441" t="e">
        <f>MIN(V$17:V$18)+IF($B$2="mil",1,0.0254)*DDR2Specs!$C$3</f>
        <v>#REF!</v>
      </c>
      <c r="X22" s="18"/>
      <c r="Y22" s="534" t="e">
        <f t="shared" si="38"/>
        <v>#REF!</v>
      </c>
      <c r="Z22" s="447" t="e">
        <f t="shared" si="39"/>
        <v>#REF!</v>
      </c>
      <c r="AA22" s="18"/>
      <c r="AB22" s="441" t="e">
        <f>MAX(AB$17:AB$18)+IF($B$2="mil",1,0.0254)*DDR2Specs!$E$3</f>
        <v>#REF!</v>
      </c>
      <c r="AC22" s="441" t="e">
        <f>MIN(AB$17:AB$18)+IF($B$2="mil",1,0.0254)*DDR2Specs!$F$3</f>
        <v>#REF!</v>
      </c>
      <c r="AD22" s="18"/>
      <c r="AE22" s="534" t="e">
        <f t="shared" si="22"/>
        <v>#REF!</v>
      </c>
      <c r="AF22" s="447" t="e">
        <f t="shared" si="23"/>
        <v>#REF!</v>
      </c>
      <c r="AG22" s="447" t="e">
        <f t="shared" si="24"/>
        <v>#REF!</v>
      </c>
      <c r="AH22" s="447" t="e">
        <f t="shared" si="25"/>
        <v>#REF!</v>
      </c>
      <c r="AI22" s="447" t="e">
        <f t="shared" si="26"/>
        <v>#REF!</v>
      </c>
      <c r="AJ22" s="447" t="e">
        <f t="shared" ca="1" si="27"/>
        <v>#NAME?</v>
      </c>
      <c r="AK22" s="447" t="e">
        <f t="shared" si="40"/>
        <v>#REF!</v>
      </c>
      <c r="AL22" s="447" t="e">
        <f t="shared" si="41"/>
        <v>#REF!</v>
      </c>
      <c r="AM22" s="447" t="e">
        <f t="shared" ca="1" si="28"/>
        <v>#NAME?</v>
      </c>
      <c r="AN22" s="447" t="e">
        <f t="shared" ca="1" si="29"/>
        <v>#NAME?</v>
      </c>
      <c r="AO22" s="447" t="e">
        <f t="shared" si="30"/>
        <v>#REF!</v>
      </c>
      <c r="AP22" s="447" t="e">
        <f t="shared" si="31"/>
        <v>#REF!</v>
      </c>
      <c r="AQ22" s="447" t="e">
        <f t="shared" si="32"/>
        <v>#REF!</v>
      </c>
      <c r="AR22" s="447" t="e">
        <f t="shared" si="33"/>
        <v>#REF!</v>
      </c>
      <c r="AS22" s="18"/>
      <c r="AT22" s="2" t="e">
        <f t="shared" ca="1" si="34"/>
        <v>#REF!</v>
      </c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</row>
    <row r="23" spans="1:62" x14ac:dyDescent="0.2">
      <c r="A23" s="92" t="s">
        <v>182</v>
      </c>
      <c r="B23" s="433" t="s">
        <v>513</v>
      </c>
      <c r="C23" s="584">
        <v>600.07874015748041</v>
      </c>
      <c r="D23" s="16"/>
      <c r="E23" s="17">
        <v>29.7</v>
      </c>
      <c r="F23" s="17">
        <v>0</v>
      </c>
      <c r="G23" s="393">
        <v>1818.2685826771649</v>
      </c>
      <c r="H23" s="271">
        <v>62.39</v>
      </c>
      <c r="I23" s="17">
        <v>0</v>
      </c>
      <c r="J23" s="271">
        <v>47.73</v>
      </c>
      <c r="K23" s="17">
        <v>40</v>
      </c>
      <c r="L23" s="271">
        <v>56.64</v>
      </c>
      <c r="M23" s="271">
        <v>1099</v>
      </c>
      <c r="N23" s="271">
        <v>76.08</v>
      </c>
      <c r="O23" s="58"/>
      <c r="P23" s="441">
        <f t="shared" si="35"/>
        <v>1910.358582677165</v>
      </c>
      <c r="Q23" s="441">
        <f t="shared" si="21"/>
        <v>3167.418582677165</v>
      </c>
      <c r="R23" s="533"/>
      <c r="S23" s="441" t="e">
        <f t="shared" si="36"/>
        <v>#REF!</v>
      </c>
      <c r="T23" s="441" t="e">
        <f t="shared" si="37"/>
        <v>#REF!</v>
      </c>
      <c r="U23" s="533"/>
      <c r="V23" s="441" t="e">
        <f>MAX(V$17:V$18)+IF($B$2="mil",1,0.0254)*DDR2Specs!$B$3</f>
        <v>#REF!</v>
      </c>
      <c r="W23" s="441" t="e">
        <f>MIN(V$17:V$18)+IF($B$2="mil",1,0.0254)*DDR2Specs!$C$3</f>
        <v>#REF!</v>
      </c>
      <c r="X23" s="18"/>
      <c r="Y23" s="534" t="e">
        <f t="shared" si="38"/>
        <v>#REF!</v>
      </c>
      <c r="Z23" s="447" t="e">
        <f t="shared" si="39"/>
        <v>#REF!</v>
      </c>
      <c r="AA23" s="18"/>
      <c r="AB23" s="441" t="e">
        <f>MAX(AB$17:AB$18)+IF($B$2="mil",1,0.0254)*DDR2Specs!$E$3</f>
        <v>#REF!</v>
      </c>
      <c r="AC23" s="441" t="e">
        <f>MIN(AB$17:AB$18)+IF($B$2="mil",1,0.0254)*DDR2Specs!$F$3</f>
        <v>#REF!</v>
      </c>
      <c r="AD23" s="18"/>
      <c r="AE23" s="534" t="e">
        <f t="shared" si="22"/>
        <v>#REF!</v>
      </c>
      <c r="AF23" s="447" t="e">
        <f t="shared" si="23"/>
        <v>#REF!</v>
      </c>
      <c r="AG23" s="447" t="e">
        <f t="shared" si="24"/>
        <v>#REF!</v>
      </c>
      <c r="AH23" s="447" t="e">
        <f t="shared" si="25"/>
        <v>#REF!</v>
      </c>
      <c r="AI23" s="447" t="e">
        <f t="shared" si="26"/>
        <v>#REF!</v>
      </c>
      <c r="AJ23" s="447" t="e">
        <f t="shared" ca="1" si="27"/>
        <v>#NAME?</v>
      </c>
      <c r="AK23" s="447" t="e">
        <f t="shared" si="40"/>
        <v>#REF!</v>
      </c>
      <c r="AL23" s="447" t="e">
        <f t="shared" si="41"/>
        <v>#REF!</v>
      </c>
      <c r="AM23" s="447" t="e">
        <f t="shared" ca="1" si="28"/>
        <v>#NAME?</v>
      </c>
      <c r="AN23" s="447" t="e">
        <f t="shared" ca="1" si="29"/>
        <v>#NAME?</v>
      </c>
      <c r="AO23" s="447" t="e">
        <f t="shared" si="30"/>
        <v>#REF!</v>
      </c>
      <c r="AP23" s="447" t="e">
        <f t="shared" si="31"/>
        <v>#REF!</v>
      </c>
      <c r="AQ23" s="447" t="e">
        <f t="shared" si="32"/>
        <v>#REF!</v>
      </c>
      <c r="AR23" s="447" t="e">
        <f t="shared" si="33"/>
        <v>#REF!</v>
      </c>
      <c r="AS23" s="18"/>
      <c r="AT23" s="2" t="e">
        <f t="shared" ca="1" si="34"/>
        <v>#REF!</v>
      </c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</row>
    <row r="24" spans="1:62" x14ac:dyDescent="0.2">
      <c r="A24" s="92" t="s">
        <v>183</v>
      </c>
      <c r="B24" s="436" t="s">
        <v>514</v>
      </c>
      <c r="C24" s="584">
        <v>655.98425196850394</v>
      </c>
      <c r="D24" s="16"/>
      <c r="E24" s="17">
        <v>29.7</v>
      </c>
      <c r="F24" s="17">
        <v>0</v>
      </c>
      <c r="G24" s="393">
        <v>1794.5713385826768</v>
      </c>
      <c r="H24" s="271">
        <v>89.04</v>
      </c>
      <c r="I24" s="17">
        <v>0</v>
      </c>
      <c r="J24" s="271">
        <v>79.47</v>
      </c>
      <c r="K24" s="17">
        <v>40</v>
      </c>
      <c r="L24" s="271">
        <v>99.93</v>
      </c>
      <c r="M24" s="271">
        <v>952</v>
      </c>
      <c r="N24" s="271">
        <v>116</v>
      </c>
      <c r="O24" s="58"/>
      <c r="P24" s="441">
        <f t="shared" si="35"/>
        <v>1913.3113385826769</v>
      </c>
      <c r="Q24" s="441">
        <f t="shared" si="21"/>
        <v>3111.671338582677</v>
      </c>
      <c r="R24" s="533"/>
      <c r="S24" s="441" t="e">
        <f t="shared" si="36"/>
        <v>#REF!</v>
      </c>
      <c r="T24" s="441" t="e">
        <f t="shared" si="37"/>
        <v>#REF!</v>
      </c>
      <c r="U24" s="533"/>
      <c r="V24" s="441" t="e">
        <f>MAX(V$17:V$18)+IF($B$2="mil",1,0.0254)*DDR2Specs!$B$3</f>
        <v>#REF!</v>
      </c>
      <c r="W24" s="441" t="e">
        <f>MIN(V$17:V$18)+IF($B$2="mil",1,0.0254)*DDR2Specs!$C$3</f>
        <v>#REF!</v>
      </c>
      <c r="X24" s="18"/>
      <c r="Y24" s="534" t="e">
        <f t="shared" si="38"/>
        <v>#REF!</v>
      </c>
      <c r="Z24" s="447" t="e">
        <f t="shared" si="39"/>
        <v>#REF!</v>
      </c>
      <c r="AA24" s="18"/>
      <c r="AB24" s="441" t="e">
        <f>MAX(AB$17:AB$18)+IF($B$2="mil",1,0.0254)*DDR2Specs!$E$3</f>
        <v>#REF!</v>
      </c>
      <c r="AC24" s="441" t="e">
        <f>MIN(AB$17:AB$18)+IF($B$2="mil",1,0.0254)*DDR2Specs!$F$3</f>
        <v>#REF!</v>
      </c>
      <c r="AD24" s="18"/>
      <c r="AE24" s="534" t="e">
        <f t="shared" si="22"/>
        <v>#REF!</v>
      </c>
      <c r="AF24" s="447" t="e">
        <f t="shared" si="23"/>
        <v>#REF!</v>
      </c>
      <c r="AG24" s="447" t="e">
        <f t="shared" si="24"/>
        <v>#REF!</v>
      </c>
      <c r="AH24" s="447" t="e">
        <f t="shared" si="25"/>
        <v>#REF!</v>
      </c>
      <c r="AI24" s="447" t="e">
        <f t="shared" si="26"/>
        <v>#REF!</v>
      </c>
      <c r="AJ24" s="447" t="e">
        <f t="shared" ca="1" si="27"/>
        <v>#NAME?</v>
      </c>
      <c r="AK24" s="447" t="e">
        <f t="shared" si="40"/>
        <v>#REF!</v>
      </c>
      <c r="AL24" s="447" t="e">
        <f t="shared" si="41"/>
        <v>#REF!</v>
      </c>
      <c r="AM24" s="447" t="e">
        <f t="shared" ca="1" si="28"/>
        <v>#NAME?</v>
      </c>
      <c r="AN24" s="447" t="e">
        <f t="shared" ca="1" si="29"/>
        <v>#NAME?</v>
      </c>
      <c r="AO24" s="447" t="e">
        <f t="shared" si="30"/>
        <v>#REF!</v>
      </c>
      <c r="AP24" s="447" t="e">
        <f t="shared" si="31"/>
        <v>#REF!</v>
      </c>
      <c r="AQ24" s="447" t="e">
        <f t="shared" si="32"/>
        <v>#REF!</v>
      </c>
      <c r="AR24" s="447" t="e">
        <f t="shared" si="33"/>
        <v>#REF!</v>
      </c>
      <c r="AS24" s="18"/>
      <c r="AT24" s="2" t="e">
        <f t="shared" ca="1" si="34"/>
        <v>#REF!</v>
      </c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</row>
    <row r="25" spans="1:62" x14ac:dyDescent="0.2">
      <c r="A25" s="92" t="s">
        <v>281</v>
      </c>
      <c r="B25" s="433" t="s">
        <v>515</v>
      </c>
      <c r="C25" s="584">
        <v>589.64566929133866</v>
      </c>
      <c r="D25" s="16"/>
      <c r="E25" s="17">
        <v>29.7</v>
      </c>
      <c r="F25" s="17">
        <v>0</v>
      </c>
      <c r="G25" s="393">
        <v>1777.0911023622048</v>
      </c>
      <c r="H25" s="271">
        <v>63.41</v>
      </c>
      <c r="I25" s="17">
        <v>0</v>
      </c>
      <c r="J25" s="271">
        <v>51.64</v>
      </c>
      <c r="K25" s="17">
        <v>40</v>
      </c>
      <c r="L25" s="271">
        <v>56.64</v>
      </c>
      <c r="M25" s="271">
        <v>1151</v>
      </c>
      <c r="N25" s="271">
        <v>72.19</v>
      </c>
      <c r="O25" s="58"/>
      <c r="P25" s="441">
        <f t="shared" si="35"/>
        <v>1870.2011023622049</v>
      </c>
      <c r="Q25" s="441">
        <f t="shared" si="21"/>
        <v>3178.2611023622053</v>
      </c>
      <c r="R25" s="533"/>
      <c r="S25" s="441" t="e">
        <f t="shared" si="36"/>
        <v>#REF!</v>
      </c>
      <c r="T25" s="441" t="e">
        <f t="shared" si="37"/>
        <v>#REF!</v>
      </c>
      <c r="U25" s="533"/>
      <c r="V25" s="441" t="e">
        <f>MAX(V$17:V$18)+IF($B$2="mil",1,0.0254)*DDR2Specs!$B$3</f>
        <v>#REF!</v>
      </c>
      <c r="W25" s="441" t="e">
        <f>MIN(V$17:V$18)+IF($B$2="mil",1,0.0254)*DDR2Specs!$C$3</f>
        <v>#REF!</v>
      </c>
      <c r="X25" s="18"/>
      <c r="Y25" s="534" t="e">
        <f t="shared" si="38"/>
        <v>#REF!</v>
      </c>
      <c r="Z25" s="447" t="e">
        <f t="shared" si="39"/>
        <v>#REF!</v>
      </c>
      <c r="AA25" s="18"/>
      <c r="AB25" s="441" t="e">
        <f>MAX(AB$17:AB$18)+IF($B$2="mil",1,0.0254)*DDR2Specs!$E$3</f>
        <v>#REF!</v>
      </c>
      <c r="AC25" s="441" t="e">
        <f>MIN(AB$17:AB$18)+IF($B$2="mil",1,0.0254)*DDR2Specs!$F$3</f>
        <v>#REF!</v>
      </c>
      <c r="AD25" s="18"/>
      <c r="AE25" s="534" t="e">
        <f t="shared" si="22"/>
        <v>#REF!</v>
      </c>
      <c r="AF25" s="447" t="e">
        <f t="shared" si="23"/>
        <v>#REF!</v>
      </c>
      <c r="AG25" s="447" t="e">
        <f t="shared" si="24"/>
        <v>#REF!</v>
      </c>
      <c r="AH25" s="447" t="e">
        <f t="shared" si="25"/>
        <v>#REF!</v>
      </c>
      <c r="AI25" s="447" t="e">
        <f t="shared" si="26"/>
        <v>#REF!</v>
      </c>
      <c r="AJ25" s="447" t="e">
        <f t="shared" ca="1" si="27"/>
        <v>#NAME?</v>
      </c>
      <c r="AK25" s="447" t="e">
        <f t="shared" si="40"/>
        <v>#REF!</v>
      </c>
      <c r="AL25" s="447" t="e">
        <f t="shared" si="41"/>
        <v>#REF!</v>
      </c>
      <c r="AM25" s="447" t="e">
        <f t="shared" ca="1" si="28"/>
        <v>#NAME?</v>
      </c>
      <c r="AN25" s="447" t="e">
        <f t="shared" ca="1" si="29"/>
        <v>#NAME?</v>
      </c>
      <c r="AO25" s="447" t="e">
        <f t="shared" si="30"/>
        <v>#REF!</v>
      </c>
      <c r="AP25" s="447" t="e">
        <f t="shared" si="31"/>
        <v>#REF!</v>
      </c>
      <c r="AQ25" s="447" t="e">
        <f t="shared" si="32"/>
        <v>#REF!</v>
      </c>
      <c r="AR25" s="447" t="e">
        <f t="shared" si="33"/>
        <v>#REF!</v>
      </c>
      <c r="AS25" s="18"/>
      <c r="AT25" s="2" t="e">
        <f t="shared" ca="1" si="34"/>
        <v>#REF!</v>
      </c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</row>
    <row r="26" spans="1:62" x14ac:dyDescent="0.2">
      <c r="A26" s="92" t="s">
        <v>184</v>
      </c>
      <c r="B26" s="433" t="s">
        <v>516</v>
      </c>
      <c r="C26" s="584">
        <v>669.29133858267721</v>
      </c>
      <c r="D26" s="16"/>
      <c r="E26" s="17">
        <v>29.7</v>
      </c>
      <c r="F26" s="17">
        <v>0</v>
      </c>
      <c r="G26" s="393">
        <v>1693.7588976377949</v>
      </c>
      <c r="H26" s="271">
        <v>134.38</v>
      </c>
      <c r="I26" s="17">
        <v>0</v>
      </c>
      <c r="J26" s="271">
        <v>95.13</v>
      </c>
      <c r="K26" s="17">
        <v>40</v>
      </c>
      <c r="L26" s="271">
        <v>54.57</v>
      </c>
      <c r="M26" s="271">
        <v>1110</v>
      </c>
      <c r="N26" s="271">
        <v>76.05</v>
      </c>
      <c r="O26" s="58"/>
      <c r="P26" s="441">
        <f t="shared" si="35"/>
        <v>1857.8388976377951</v>
      </c>
      <c r="Q26" s="441">
        <f t="shared" si="21"/>
        <v>3099.2088976377954</v>
      </c>
      <c r="R26" s="533"/>
      <c r="S26" s="441" t="e">
        <f t="shared" si="36"/>
        <v>#REF!</v>
      </c>
      <c r="T26" s="441" t="e">
        <f t="shared" si="37"/>
        <v>#REF!</v>
      </c>
      <c r="U26" s="533"/>
      <c r="V26" s="441" t="e">
        <f>MAX(V$17:V$18)+IF($B$2="mil",1,0.0254)*DDR2Specs!$B$3</f>
        <v>#REF!</v>
      </c>
      <c r="W26" s="441" t="e">
        <f>MIN(V$17:V$18)+IF($B$2="mil",1,0.0254)*DDR2Specs!$C$3</f>
        <v>#REF!</v>
      </c>
      <c r="X26" s="18"/>
      <c r="Y26" s="534" t="e">
        <f t="shared" si="38"/>
        <v>#REF!</v>
      </c>
      <c r="Z26" s="447" t="e">
        <f t="shared" si="39"/>
        <v>#REF!</v>
      </c>
      <c r="AA26" s="18"/>
      <c r="AB26" s="441" t="e">
        <f>MAX(AB$17:AB$18)+IF($B$2="mil",1,0.0254)*DDR2Specs!$E$3</f>
        <v>#REF!</v>
      </c>
      <c r="AC26" s="441" t="e">
        <f>MIN(AB$17:AB$18)+IF($B$2="mil",1,0.0254)*DDR2Specs!$F$3</f>
        <v>#REF!</v>
      </c>
      <c r="AD26" s="18"/>
      <c r="AE26" s="534" t="e">
        <f t="shared" si="22"/>
        <v>#REF!</v>
      </c>
      <c r="AF26" s="447" t="e">
        <f t="shared" si="23"/>
        <v>#REF!</v>
      </c>
      <c r="AG26" s="447" t="e">
        <f t="shared" si="24"/>
        <v>#REF!</v>
      </c>
      <c r="AH26" s="447" t="e">
        <f t="shared" si="25"/>
        <v>#REF!</v>
      </c>
      <c r="AI26" s="447" t="e">
        <f t="shared" si="26"/>
        <v>#REF!</v>
      </c>
      <c r="AJ26" s="447" t="e">
        <f t="shared" ca="1" si="27"/>
        <v>#NAME?</v>
      </c>
      <c r="AK26" s="447" t="e">
        <f t="shared" si="40"/>
        <v>#REF!</v>
      </c>
      <c r="AL26" s="447" t="e">
        <f t="shared" si="41"/>
        <v>#REF!</v>
      </c>
      <c r="AM26" s="447" t="e">
        <f t="shared" ca="1" si="28"/>
        <v>#NAME?</v>
      </c>
      <c r="AN26" s="447" t="e">
        <f t="shared" ca="1" si="29"/>
        <v>#NAME?</v>
      </c>
      <c r="AO26" s="447" t="e">
        <f t="shared" si="30"/>
        <v>#REF!</v>
      </c>
      <c r="AP26" s="447" t="e">
        <f t="shared" si="31"/>
        <v>#REF!</v>
      </c>
      <c r="AQ26" s="447" t="e">
        <f t="shared" si="32"/>
        <v>#REF!</v>
      </c>
      <c r="AR26" s="447" t="e">
        <f t="shared" si="33"/>
        <v>#REF!</v>
      </c>
      <c r="AS26" s="18"/>
      <c r="AT26" s="2" t="e">
        <f t="shared" ca="1" si="34"/>
        <v>#REF!</v>
      </c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</row>
    <row r="27" spans="1:62" x14ac:dyDescent="0.2">
      <c r="A27" s="92" t="s">
        <v>185</v>
      </c>
      <c r="B27" s="437" t="s">
        <v>554</v>
      </c>
      <c r="C27" s="584">
        <v>627.91338582677167</v>
      </c>
      <c r="D27" s="16"/>
      <c r="E27" s="17">
        <v>29.7</v>
      </c>
      <c r="F27" s="17">
        <v>0</v>
      </c>
      <c r="G27" s="393">
        <v>1828.8</v>
      </c>
      <c r="H27" s="271">
        <v>62.12</v>
      </c>
      <c r="I27" s="17">
        <v>0</v>
      </c>
      <c r="J27" s="271">
        <v>49.57</v>
      </c>
      <c r="K27" s="17">
        <v>40</v>
      </c>
      <c r="L27" s="271">
        <v>49.57</v>
      </c>
      <c r="M27" s="271">
        <v>1111</v>
      </c>
      <c r="N27" s="271">
        <v>34</v>
      </c>
      <c r="O27" s="58"/>
      <c r="P27" s="441">
        <f t="shared" si="35"/>
        <v>1920.62</v>
      </c>
      <c r="Q27" s="441">
        <f>SUM(E27:G27,I27:N27)</f>
        <v>3142.64</v>
      </c>
      <c r="R27" s="533"/>
      <c r="S27" s="441" t="e">
        <f t="shared" si="36"/>
        <v>#REF!</v>
      </c>
      <c r="T27" s="441" t="e">
        <f t="shared" si="37"/>
        <v>#REF!</v>
      </c>
      <c r="U27" s="533"/>
      <c r="V27" s="441" t="e">
        <f>MAX(V$17:V$18)+IF($B$2="mil",1,0.0254)*DDR2Specs!$B$3</f>
        <v>#REF!</v>
      </c>
      <c r="W27" s="441" t="e">
        <f>MIN(V$17:V$18)+IF($B$2="mil",1,0.0254)*DDR2Specs!$C$3</f>
        <v>#REF!</v>
      </c>
      <c r="X27" s="18"/>
      <c r="Y27" s="534" t="e">
        <f t="shared" si="38"/>
        <v>#REF!</v>
      </c>
      <c r="Z27" s="447" t="e">
        <f t="shared" si="39"/>
        <v>#REF!</v>
      </c>
      <c r="AA27" s="18"/>
      <c r="AB27" s="441" t="e">
        <f>MAX(AB$17:AB$18)+IF($B$2="mil",1,0.0254)*DDR2Specs!$E$3</f>
        <v>#REF!</v>
      </c>
      <c r="AC27" s="441" t="e">
        <f>MIN(AB$17:AB$18)+IF($B$2="mil",1,0.0254)*DDR2Specs!$F$3</f>
        <v>#REF!</v>
      </c>
      <c r="AD27" s="18"/>
      <c r="AE27" s="534" t="e">
        <f t="shared" si="22"/>
        <v>#REF!</v>
      </c>
      <c r="AF27" s="447" t="e">
        <f t="shared" si="23"/>
        <v>#REF!</v>
      </c>
      <c r="AG27" s="447" t="e">
        <f t="shared" si="24"/>
        <v>#REF!</v>
      </c>
      <c r="AH27" s="447" t="e">
        <f t="shared" si="25"/>
        <v>#REF!</v>
      </c>
      <c r="AI27" s="447" t="e">
        <f t="shared" si="26"/>
        <v>#REF!</v>
      </c>
      <c r="AJ27" s="447" t="e">
        <f t="shared" ca="1" si="27"/>
        <v>#NAME?</v>
      </c>
      <c r="AK27" s="447" t="e">
        <f t="shared" si="40"/>
        <v>#REF!</v>
      </c>
      <c r="AL27" s="447" t="e">
        <f t="shared" si="41"/>
        <v>#REF!</v>
      </c>
      <c r="AM27" s="447" t="e">
        <f t="shared" ca="1" si="28"/>
        <v>#NAME?</v>
      </c>
      <c r="AN27" s="447" t="e">
        <f t="shared" ca="1" si="29"/>
        <v>#NAME?</v>
      </c>
      <c r="AO27" s="447" t="e">
        <f t="shared" si="30"/>
        <v>#REF!</v>
      </c>
      <c r="AP27" s="447" t="e">
        <f t="shared" si="31"/>
        <v>#REF!</v>
      </c>
      <c r="AQ27" s="447" t="e">
        <f t="shared" si="32"/>
        <v>#REF!</v>
      </c>
      <c r="AR27" s="447" t="e">
        <f t="shared" si="33"/>
        <v>#REF!</v>
      </c>
      <c r="AS27" s="18"/>
      <c r="AT27" s="2" t="e">
        <f t="shared" ca="1" si="34"/>
        <v>#REF!</v>
      </c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</row>
    <row r="28" spans="1:62" x14ac:dyDescent="0.2">
      <c r="A28" s="94" t="s">
        <v>247</v>
      </c>
      <c r="B28" s="438"/>
      <c r="C28" s="585"/>
      <c r="D28" s="51"/>
      <c r="E28" s="68"/>
      <c r="F28" s="68"/>
      <c r="G28" s="394"/>
      <c r="H28" s="265"/>
      <c r="I28" s="265"/>
      <c r="J28" s="265"/>
      <c r="K28" s="265"/>
      <c r="L28" s="265"/>
      <c r="M28" s="265"/>
      <c r="N28" s="265"/>
      <c r="O28" s="8"/>
      <c r="P28" s="68"/>
      <c r="Q28" s="68"/>
      <c r="R28" s="68"/>
      <c r="S28" s="539"/>
      <c r="T28" s="539"/>
      <c r="U28" s="539"/>
      <c r="V28" s="539"/>
      <c r="W28" s="540"/>
      <c r="X28" s="540"/>
      <c r="Y28" s="541"/>
      <c r="Z28" s="15"/>
      <c r="AA28" s="540"/>
      <c r="AB28" s="539"/>
      <c r="AC28" s="540"/>
      <c r="AD28" s="540"/>
      <c r="AE28" s="541"/>
      <c r="AF28" s="15"/>
      <c r="AG28" s="15"/>
      <c r="AH28" s="15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69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</row>
    <row r="29" spans="1:62" x14ac:dyDescent="0.2">
      <c r="A29" s="103" t="str">
        <f>'DDR2 Strobes - 1x16'!$A$14</f>
        <v>SA_DQS2</v>
      </c>
      <c r="B29" s="112" t="str">
        <f>'DDR2 Strobes - 1x16'!$B$14</f>
        <v>AB24</v>
      </c>
      <c r="C29" s="586"/>
      <c r="D29" s="44"/>
      <c r="E29" s="67"/>
      <c r="F29" s="67"/>
      <c r="G29" s="395"/>
      <c r="H29" s="266"/>
      <c r="I29" s="266"/>
      <c r="J29" s="266"/>
      <c r="K29" s="266"/>
      <c r="L29" s="266"/>
      <c r="M29" s="266"/>
      <c r="N29" s="266"/>
      <c r="O29" s="67"/>
      <c r="P29" s="67"/>
      <c r="Q29" s="67"/>
      <c r="R29" s="67"/>
      <c r="S29" s="48"/>
      <c r="T29" s="48"/>
      <c r="U29" s="48"/>
      <c r="V29" s="48" t="e">
        <f>'DDR2 Strobes - 1x16'!$S$14</f>
        <v>#REF!</v>
      </c>
      <c r="W29" s="48"/>
      <c r="X29" s="48"/>
      <c r="Y29" s="48"/>
      <c r="Z29" s="542"/>
      <c r="AA29" s="48"/>
      <c r="AB29" s="48" t="e">
        <f>'DDR2 Strobes - 1x16'!$T$14</f>
        <v>#REF!</v>
      </c>
      <c r="AC29" s="48"/>
      <c r="AD29" s="48"/>
      <c r="AE29" s="48"/>
      <c r="AF29" s="542"/>
      <c r="AG29" s="542"/>
      <c r="AH29" s="542"/>
      <c r="AI29" s="542"/>
      <c r="AJ29" s="542"/>
      <c r="AK29" s="542"/>
      <c r="AL29" s="542"/>
      <c r="AM29" s="542"/>
      <c r="AN29" s="542"/>
      <c r="AO29" s="542"/>
      <c r="AP29" s="542"/>
      <c r="AQ29" s="542"/>
      <c r="AR29" s="542"/>
      <c r="AS29" s="48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</row>
    <row r="30" spans="1:62" x14ac:dyDescent="0.2">
      <c r="A30" s="103" t="str">
        <f>'DDR2 Strobes - 1x16'!$A$15</f>
        <v>SA_DQS2#</v>
      </c>
      <c r="B30" s="439" t="str">
        <f>'DDR2 Strobes - 1x16'!$B$15</f>
        <v>AB22</v>
      </c>
      <c r="C30" s="586"/>
      <c r="D30" s="44"/>
      <c r="E30" s="67"/>
      <c r="F30" s="67"/>
      <c r="G30" s="395"/>
      <c r="H30" s="266"/>
      <c r="I30" s="266"/>
      <c r="J30" s="266"/>
      <c r="K30" s="266"/>
      <c r="L30" s="266"/>
      <c r="M30" s="266"/>
      <c r="N30" s="266"/>
      <c r="O30" s="67"/>
      <c r="P30" s="67"/>
      <c r="Q30" s="536"/>
      <c r="R30" s="536"/>
      <c r="S30" s="537"/>
      <c r="T30" s="537"/>
      <c r="U30" s="48"/>
      <c r="V30" s="48" t="e">
        <f>'DDR2 Strobes - 1x16'!$S$15</f>
        <v>#REF!</v>
      </c>
      <c r="W30" s="48"/>
      <c r="X30" s="48"/>
      <c r="Y30" s="48"/>
      <c r="Z30" s="542"/>
      <c r="AA30" s="48"/>
      <c r="AB30" s="48" t="e">
        <f>'DDR2 Strobes - 1x16'!$T$15</f>
        <v>#REF!</v>
      </c>
      <c r="AC30" s="48"/>
      <c r="AD30" s="48"/>
      <c r="AE30" s="48"/>
      <c r="AF30" s="542"/>
      <c r="AG30" s="542"/>
      <c r="AH30" s="542"/>
      <c r="AI30" s="543"/>
      <c r="AJ30" s="543"/>
      <c r="AK30" s="543"/>
      <c r="AL30" s="543"/>
      <c r="AM30" s="543"/>
      <c r="AN30" s="543"/>
      <c r="AO30" s="543"/>
      <c r="AP30" s="543"/>
      <c r="AQ30" s="543"/>
      <c r="AR30" s="543"/>
      <c r="AS30" s="48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</row>
    <row r="31" spans="1:62" x14ac:dyDescent="0.2">
      <c r="A31" s="92" t="s">
        <v>186</v>
      </c>
      <c r="B31" s="433" t="s">
        <v>517</v>
      </c>
      <c r="C31" s="584">
        <v>532.63779527559052</v>
      </c>
      <c r="D31" s="16"/>
      <c r="E31" s="17">
        <v>29.7</v>
      </c>
      <c r="F31" s="17">
        <v>0</v>
      </c>
      <c r="G31" s="393">
        <v>1822.1436220472438</v>
      </c>
      <c r="H31" s="271">
        <v>82.37</v>
      </c>
      <c r="I31" s="17">
        <v>0</v>
      </c>
      <c r="J31" s="271">
        <v>59.57</v>
      </c>
      <c r="K31" s="17">
        <v>40</v>
      </c>
      <c r="L31" s="271">
        <v>62.17</v>
      </c>
      <c r="M31" s="271">
        <v>1040.69</v>
      </c>
      <c r="N31" s="271">
        <v>78</v>
      </c>
      <c r="O31" s="58"/>
      <c r="P31" s="441">
        <f xml:space="preserve"> E31+F31+G31+H31</f>
        <v>1934.2136220472439</v>
      </c>
      <c r="Q31" s="441">
        <f>SUM(E31:G31,I31:N31)</f>
        <v>3132.2736220472439</v>
      </c>
      <c r="R31" s="533"/>
      <c r="S31" s="441" t="e">
        <f>P31+IF($B$2="mil",1,0.0254)*C31</f>
        <v>#REF!</v>
      </c>
      <c r="T31" s="441" t="e">
        <f>Q31+IF($B$2="mil",1,0.0254)*C31</f>
        <v>#REF!</v>
      </c>
      <c r="U31" s="533"/>
      <c r="V31" s="441" t="e">
        <f>MAX(V$29:V$30)+IF($B$2="mil",1,0.0254)*DDR2Specs!$B$3</f>
        <v>#REF!</v>
      </c>
      <c r="W31" s="441" t="e">
        <f>MIN(V$29:V$30)+IF($B$2="mil",1,0.0254)*DDR2Specs!$C$3</f>
        <v>#REF!</v>
      </c>
      <c r="X31" s="18"/>
      <c r="Y31" s="534" t="e">
        <f>IF($S31&lt;$V31,$V31-$S31,"Pass")</f>
        <v>#REF!</v>
      </c>
      <c r="Z31" s="447" t="e">
        <f>IF($S31&gt;$W31,$S31-$W31,"Pass")</f>
        <v>#REF!</v>
      </c>
      <c r="AA31" s="18"/>
      <c r="AB31" s="441" t="e">
        <f>MAX(AB$29:AB$30)+IF($B$2="mil",1,0.0254)*DDR2Specs!$E$3</f>
        <v>#REF!</v>
      </c>
      <c r="AC31" s="441" t="e">
        <f>MIN(AB$29:AB$30)+IF($B$2="mil",1,0.0254)*DDR2Specs!$F$3</f>
        <v>#REF!</v>
      </c>
      <c r="AD31" s="18"/>
      <c r="AE31" s="534" t="e">
        <f t="shared" ref="AE31:AE39" si="42">IF($T31&lt;$AB31,$AB31-$T31,"Pass")</f>
        <v>#REF!</v>
      </c>
      <c r="AF31" s="447" t="e">
        <f t="shared" ref="AF31:AF39" si="43">IF($T31&gt;$AC31,$T31-$AC31,"Pass")</f>
        <v>#REF!</v>
      </c>
      <c r="AG31" s="447" t="e">
        <f t="shared" ref="AG31:AG39" si="44">IF($E31&lt;=IF($B$2="mil",1,0.0254)*50,"Pass",IF($B$2="mil",1,0.0254)*50-$E31)</f>
        <v>#REF!</v>
      </c>
      <c r="AH31" s="447" t="e">
        <f t="shared" ref="AH31:AH39" si="45">IF($F31&lt;=IF($B$2="mil",1,0.0254)*500,"Pass",IF($B$2="mil",1,0.0254)*500-$F31)</f>
        <v>#REF!</v>
      </c>
      <c r="AI31" s="447" t="e">
        <f t="shared" ref="AI31:AI39" si="46">IF($H31&lt;=IF($B$2="mil",1,0.0254)*250,"Pass",IF($B$2="mil",1,0.0254)*250-$H31)</f>
        <v>#REF!</v>
      </c>
      <c r="AJ31" s="447" t="e">
        <f t="shared" ref="AJ31:AJ39" ca="1" si="47">CheckLength(IF($B$2="mil",1,0.0254)*1125, IF($B$2="mil",1,0.0254)*125-J31, 0, I31,J31,0)</f>
        <v>#NAME?</v>
      </c>
      <c r="AK31" s="447" t="e">
        <f>IF($J31&lt;=IF($B$2="mil",1,0.0254)*125,"Pass",IF($B$2="mil",1,0.0254)*125-$J31)</f>
        <v>#REF!</v>
      </c>
      <c r="AL31" s="447" t="e">
        <f>IF($L31&lt;=IF($B$2="mil",1,0.0254)*125,"Pass",IF($B$2="mil",1,0.0254)*125-$L31)</f>
        <v>#REF!</v>
      </c>
      <c r="AM31" s="447" t="e">
        <f t="shared" ref="AM31:AM39" ca="1" si="48">CheckLength(IF($B$2="mil",1,0.0254)*1525, IF($B$2="mil",1,0.0254)*125-L31, IF($B$2="mil",1,0.0254)*150-N31, M31,L31,N31)</f>
        <v>#NAME?</v>
      </c>
      <c r="AN31" s="447" t="e">
        <f t="shared" ref="AN31:AN39" ca="1" si="49">CheckLength2(IF($B$2="mil",1,0.0254)*1400,M31,N31,0)</f>
        <v>#NAME?</v>
      </c>
      <c r="AO31" s="447" t="e">
        <f t="shared" ref="AO31:AO39" si="50">IF(AND($P31&gt;=IF($B$2="mil",1,0.0254)*500, $P31&lt;=IF($B$2="mil",1,0.0254)*4000),"Pass",IF($B$2="mil",1,0.0254)*4000-$P31)</f>
        <v>#REF!</v>
      </c>
      <c r="AP31" s="447" t="e">
        <f t="shared" ref="AP31:AP39" si="51">IF(AND($S31&gt;=IF($B$2="mil",1,0.0254)*500, $S31&lt;=IF($B$2="mil",1,0.0254)*4500),"Pass",IF($B$2="mil",1,0.0254)*4500-$S31)</f>
        <v>#REF!</v>
      </c>
      <c r="AQ31" s="447" t="e">
        <f t="shared" ref="AQ31:AQ39" si="52">IF(AND($Q31&gt;=IF($B$2="mil",1,0.0254)*500, $Q31&lt;=IF($B$2="mil",1,0.0254)*5500),"Pass",IF($B$2="mil",1,0.0254)*5500-$Q31)</f>
        <v>#REF!</v>
      </c>
      <c r="AR31" s="447" t="e">
        <f t="shared" ref="AR31:AR39" si="53">IF(AND($T31&gt;=IF($B$2="mil",1,0.0254)*500, $T31&lt;=IF($B$2="mil",1,0.0254)*6000),"Pass",IF($B$2="mil",1,0.0254)*6000-$T31)</f>
        <v>#REF!</v>
      </c>
      <c r="AS31" s="18"/>
      <c r="AT31" s="2" t="e">
        <f t="shared" ref="AT31:AT39" ca="1" si="54">IF(AND(AG31="Pass",AP31="Pass",AI31="Pass",AH31="Pass",AO31="Pass",Y31="Pass",Z31="Pass",AN31="Pass",AM31="Pass",AL31="Pass",AK31="Pass",AJ31="Pass",AE31="Pass",AF31="Pass",AQ31="Pass",AR31="Pass"),"Pass","Fail")</f>
        <v>#REF!</v>
      </c>
      <c r="AU31" s="2" t="e">
        <f ca="1">IF(AND(AT31="Pass",AT32="Pass",AT33="Pass",AT34="Pass",AT35="Pass",AT36="Pass",AT37="Pass",AT38="Pass",AT39="Pass"),"Pass","Fail")</f>
        <v>#REF!</v>
      </c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</row>
    <row r="32" spans="1:62" x14ac:dyDescent="0.2">
      <c r="A32" s="92" t="s">
        <v>187</v>
      </c>
      <c r="B32" s="433" t="s">
        <v>518</v>
      </c>
      <c r="C32" s="584">
        <v>514.9212598425197</v>
      </c>
      <c r="D32" s="16"/>
      <c r="E32" s="17">
        <v>29.7</v>
      </c>
      <c r="F32" s="17">
        <v>0</v>
      </c>
      <c r="G32" s="393">
        <v>1788.937795275591</v>
      </c>
      <c r="H32" s="271">
        <v>127.19</v>
      </c>
      <c r="I32" s="17">
        <v>0</v>
      </c>
      <c r="J32" s="271">
        <v>111.43</v>
      </c>
      <c r="K32" s="17">
        <v>40</v>
      </c>
      <c r="L32" s="271">
        <v>66.900000000000006</v>
      </c>
      <c r="M32" s="271">
        <v>1041.8499999999999</v>
      </c>
      <c r="N32" s="271">
        <v>69.64</v>
      </c>
      <c r="O32" s="58"/>
      <c r="P32" s="441">
        <f t="shared" ref="P32:P39" si="55" xml:space="preserve"> E32+F32+G32+H32</f>
        <v>1945.8277952755911</v>
      </c>
      <c r="Q32" s="441">
        <f t="shared" ref="Q32:Q39" si="56">SUM(E32:G32,I32:N32)</f>
        <v>3148.4577952755913</v>
      </c>
      <c r="R32" s="533"/>
      <c r="S32" s="441" t="e">
        <f t="shared" ref="S32:S39" si="57">P32+IF($B$2="mil",1,0.0254)*C32</f>
        <v>#REF!</v>
      </c>
      <c r="T32" s="441" t="e">
        <f t="shared" ref="T32:T39" si="58">Q32+IF($B$2="mil",1,0.0254)*C32</f>
        <v>#REF!</v>
      </c>
      <c r="U32" s="533"/>
      <c r="V32" s="441" t="e">
        <f>MAX(V$29:V$30)+IF($B$2="mil",1,0.0254)*DDR2Specs!$B$3</f>
        <v>#REF!</v>
      </c>
      <c r="W32" s="441" t="e">
        <f>MIN(V$29:V$30)+IF($B$2="mil",1,0.0254)*DDR2Specs!$C$3</f>
        <v>#REF!</v>
      </c>
      <c r="X32" s="18"/>
      <c r="Y32" s="534" t="e">
        <f t="shared" ref="Y32:Y39" si="59">IF($S32&lt;$V32,$V32-$S32,"Pass")</f>
        <v>#REF!</v>
      </c>
      <c r="Z32" s="447" t="e">
        <f t="shared" ref="Z32:Z39" si="60">IF($S32&gt;$W32,$S32-$W32,"Pass")</f>
        <v>#REF!</v>
      </c>
      <c r="AA32" s="18"/>
      <c r="AB32" s="441" t="e">
        <f>MAX(AB$29:AB$30)+IF($B$2="mil",1,0.0254)*DDR2Specs!$E$3</f>
        <v>#REF!</v>
      </c>
      <c r="AC32" s="441" t="e">
        <f>MIN(AB$29:AB$30)+IF($B$2="mil",1,0.0254)*DDR2Specs!$F$3</f>
        <v>#REF!</v>
      </c>
      <c r="AD32" s="18"/>
      <c r="AE32" s="534" t="e">
        <f t="shared" si="42"/>
        <v>#REF!</v>
      </c>
      <c r="AF32" s="447" t="e">
        <f t="shared" si="43"/>
        <v>#REF!</v>
      </c>
      <c r="AG32" s="447" t="e">
        <f t="shared" si="44"/>
        <v>#REF!</v>
      </c>
      <c r="AH32" s="447" t="e">
        <f t="shared" si="45"/>
        <v>#REF!</v>
      </c>
      <c r="AI32" s="447" t="e">
        <f t="shared" si="46"/>
        <v>#REF!</v>
      </c>
      <c r="AJ32" s="447" t="e">
        <f t="shared" ca="1" si="47"/>
        <v>#NAME?</v>
      </c>
      <c r="AK32" s="447" t="e">
        <f t="shared" ref="AK32:AK39" si="61">IF($J32&lt;=IF($B$2="mil",1,0.0254)*125,"Pass",IF($B$2="mil",1,0.0254)*125-$J32)</f>
        <v>#REF!</v>
      </c>
      <c r="AL32" s="447" t="e">
        <f t="shared" ref="AL32:AL39" si="62">IF($L32&lt;=IF($B$2="mil",1,0.0254)*125,"Pass",IF($B$2="mil",1,0.0254)*125-$L32)</f>
        <v>#REF!</v>
      </c>
      <c r="AM32" s="447" t="e">
        <f t="shared" ca="1" si="48"/>
        <v>#NAME?</v>
      </c>
      <c r="AN32" s="447" t="e">
        <f t="shared" ca="1" si="49"/>
        <v>#NAME?</v>
      </c>
      <c r="AO32" s="447" t="e">
        <f t="shared" si="50"/>
        <v>#REF!</v>
      </c>
      <c r="AP32" s="447" t="e">
        <f t="shared" si="51"/>
        <v>#REF!</v>
      </c>
      <c r="AQ32" s="447" t="e">
        <f t="shared" si="52"/>
        <v>#REF!</v>
      </c>
      <c r="AR32" s="447" t="e">
        <f t="shared" si="53"/>
        <v>#REF!</v>
      </c>
      <c r="AS32" s="18"/>
      <c r="AT32" s="2" t="e">
        <f t="shared" ca="1" si="54"/>
        <v>#REF!</v>
      </c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</row>
    <row r="33" spans="1:62" x14ac:dyDescent="0.2">
      <c r="A33" s="92" t="s">
        <v>188</v>
      </c>
      <c r="B33" s="433" t="s">
        <v>519</v>
      </c>
      <c r="C33" s="584">
        <v>468.18897637795277</v>
      </c>
      <c r="D33" s="16"/>
      <c r="E33" s="17">
        <v>29.7</v>
      </c>
      <c r="F33" s="17">
        <v>0</v>
      </c>
      <c r="G33" s="393">
        <v>2028.1941732283458</v>
      </c>
      <c r="H33" s="271">
        <v>71.91</v>
      </c>
      <c r="I33" s="17">
        <v>0</v>
      </c>
      <c r="J33" s="271">
        <v>56.64</v>
      </c>
      <c r="K33" s="17">
        <v>40</v>
      </c>
      <c r="L33" s="271">
        <v>76.23</v>
      </c>
      <c r="M33" s="271">
        <v>1058.99</v>
      </c>
      <c r="N33" s="271">
        <v>37</v>
      </c>
      <c r="O33" s="58"/>
      <c r="P33" s="441">
        <f t="shared" si="55"/>
        <v>2129.8041732283455</v>
      </c>
      <c r="Q33" s="441">
        <f t="shared" si="56"/>
        <v>3326.7541732283453</v>
      </c>
      <c r="R33" s="533"/>
      <c r="S33" s="441" t="e">
        <f t="shared" si="57"/>
        <v>#REF!</v>
      </c>
      <c r="T33" s="441" t="e">
        <f t="shared" si="58"/>
        <v>#REF!</v>
      </c>
      <c r="U33" s="533"/>
      <c r="V33" s="441" t="e">
        <f>MAX(V$29:V$30)+IF($B$2="mil",1,0.0254)*DDR2Specs!$B$3</f>
        <v>#REF!</v>
      </c>
      <c r="W33" s="441" t="e">
        <f>MIN(V$29:V$30)+IF($B$2="mil",1,0.0254)*DDR2Specs!$C$3</f>
        <v>#REF!</v>
      </c>
      <c r="X33" s="18"/>
      <c r="Y33" s="534" t="e">
        <f t="shared" si="59"/>
        <v>#REF!</v>
      </c>
      <c r="Z33" s="447" t="e">
        <f t="shared" si="60"/>
        <v>#REF!</v>
      </c>
      <c r="AA33" s="18"/>
      <c r="AB33" s="441" t="e">
        <f>MAX(AB$29:AB$30)+IF($B$2="mil",1,0.0254)*DDR2Specs!$E$3</f>
        <v>#REF!</v>
      </c>
      <c r="AC33" s="441" t="e">
        <f>MIN(AB$29:AB$30)+IF($B$2="mil",1,0.0254)*DDR2Specs!$F$3</f>
        <v>#REF!</v>
      </c>
      <c r="AD33" s="18"/>
      <c r="AE33" s="534" t="e">
        <f t="shared" si="42"/>
        <v>#REF!</v>
      </c>
      <c r="AF33" s="447" t="e">
        <f t="shared" si="43"/>
        <v>#REF!</v>
      </c>
      <c r="AG33" s="447" t="e">
        <f t="shared" si="44"/>
        <v>#REF!</v>
      </c>
      <c r="AH33" s="447" t="e">
        <f t="shared" si="45"/>
        <v>#REF!</v>
      </c>
      <c r="AI33" s="447" t="e">
        <f t="shared" si="46"/>
        <v>#REF!</v>
      </c>
      <c r="AJ33" s="447" t="e">
        <f t="shared" ca="1" si="47"/>
        <v>#NAME?</v>
      </c>
      <c r="AK33" s="447" t="e">
        <f t="shared" si="61"/>
        <v>#REF!</v>
      </c>
      <c r="AL33" s="447" t="e">
        <f t="shared" si="62"/>
        <v>#REF!</v>
      </c>
      <c r="AM33" s="447" t="e">
        <f t="shared" ca="1" si="48"/>
        <v>#NAME?</v>
      </c>
      <c r="AN33" s="447" t="e">
        <f t="shared" ca="1" si="49"/>
        <v>#NAME?</v>
      </c>
      <c r="AO33" s="447" t="e">
        <f t="shared" si="50"/>
        <v>#REF!</v>
      </c>
      <c r="AP33" s="447" t="e">
        <f t="shared" si="51"/>
        <v>#REF!</v>
      </c>
      <c r="AQ33" s="447" t="e">
        <f t="shared" si="52"/>
        <v>#REF!</v>
      </c>
      <c r="AR33" s="447" t="e">
        <f t="shared" si="53"/>
        <v>#REF!</v>
      </c>
      <c r="AS33" s="18"/>
      <c r="AT33" s="2" t="e">
        <f t="shared" ca="1" si="54"/>
        <v>#REF!</v>
      </c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</row>
    <row r="34" spans="1:62" x14ac:dyDescent="0.2">
      <c r="A34" s="92" t="s">
        <v>189</v>
      </c>
      <c r="B34" s="433" t="s">
        <v>520</v>
      </c>
      <c r="C34" s="584">
        <v>494.40944881889766</v>
      </c>
      <c r="D34" s="16"/>
      <c r="E34" s="17">
        <v>29.7</v>
      </c>
      <c r="F34" s="17">
        <v>0</v>
      </c>
      <c r="G34" s="393">
        <v>1996.2605511811021</v>
      </c>
      <c r="H34" s="271">
        <v>72.819999999999993</v>
      </c>
      <c r="I34" s="17">
        <v>0</v>
      </c>
      <c r="J34" s="271">
        <v>58.71</v>
      </c>
      <c r="K34" s="17">
        <v>40</v>
      </c>
      <c r="L34" s="271">
        <v>100.8</v>
      </c>
      <c r="M34" s="271">
        <v>1041.04</v>
      </c>
      <c r="N34" s="271">
        <v>31.49</v>
      </c>
      <c r="O34" s="58"/>
      <c r="P34" s="441">
        <f t="shared" si="55"/>
        <v>2098.7805511811021</v>
      </c>
      <c r="Q34" s="441">
        <f t="shared" si="56"/>
        <v>3298.0005511811019</v>
      </c>
      <c r="R34" s="533"/>
      <c r="S34" s="441" t="e">
        <f t="shared" si="57"/>
        <v>#REF!</v>
      </c>
      <c r="T34" s="441" t="e">
        <f t="shared" si="58"/>
        <v>#REF!</v>
      </c>
      <c r="U34" s="533"/>
      <c r="V34" s="441" t="e">
        <f>MAX(V$29:V$30)+IF($B$2="mil",1,0.0254)*DDR2Specs!$B$3</f>
        <v>#REF!</v>
      </c>
      <c r="W34" s="441" t="e">
        <f>MIN(V$29:V$30)+IF($B$2="mil",1,0.0254)*DDR2Specs!$C$3</f>
        <v>#REF!</v>
      </c>
      <c r="X34" s="18"/>
      <c r="Y34" s="534" t="e">
        <f t="shared" si="59"/>
        <v>#REF!</v>
      </c>
      <c r="Z34" s="447" t="e">
        <f t="shared" si="60"/>
        <v>#REF!</v>
      </c>
      <c r="AA34" s="18"/>
      <c r="AB34" s="441" t="e">
        <f>MAX(AB$29:AB$30)+IF($B$2="mil",1,0.0254)*DDR2Specs!$E$3</f>
        <v>#REF!</v>
      </c>
      <c r="AC34" s="441" t="e">
        <f>MIN(AB$29:AB$30)+IF($B$2="mil",1,0.0254)*DDR2Specs!$F$3</f>
        <v>#REF!</v>
      </c>
      <c r="AD34" s="18"/>
      <c r="AE34" s="534" t="e">
        <f t="shared" si="42"/>
        <v>#REF!</v>
      </c>
      <c r="AF34" s="447" t="e">
        <f t="shared" si="43"/>
        <v>#REF!</v>
      </c>
      <c r="AG34" s="447" t="e">
        <f t="shared" si="44"/>
        <v>#REF!</v>
      </c>
      <c r="AH34" s="447" t="e">
        <f t="shared" si="45"/>
        <v>#REF!</v>
      </c>
      <c r="AI34" s="447" t="e">
        <f t="shared" si="46"/>
        <v>#REF!</v>
      </c>
      <c r="AJ34" s="447" t="e">
        <f t="shared" ca="1" si="47"/>
        <v>#NAME?</v>
      </c>
      <c r="AK34" s="447" t="e">
        <f t="shared" si="61"/>
        <v>#REF!</v>
      </c>
      <c r="AL34" s="447" t="e">
        <f t="shared" si="62"/>
        <v>#REF!</v>
      </c>
      <c r="AM34" s="447" t="e">
        <f t="shared" ca="1" si="48"/>
        <v>#NAME?</v>
      </c>
      <c r="AN34" s="447" t="e">
        <f t="shared" ca="1" si="49"/>
        <v>#NAME?</v>
      </c>
      <c r="AO34" s="447" t="e">
        <f t="shared" si="50"/>
        <v>#REF!</v>
      </c>
      <c r="AP34" s="447" t="e">
        <f t="shared" si="51"/>
        <v>#REF!</v>
      </c>
      <c r="AQ34" s="447" t="e">
        <f t="shared" si="52"/>
        <v>#REF!</v>
      </c>
      <c r="AR34" s="447" t="e">
        <f t="shared" si="53"/>
        <v>#REF!</v>
      </c>
      <c r="AS34" s="18"/>
      <c r="AT34" s="2" t="e">
        <f t="shared" ca="1" si="54"/>
        <v>#REF!</v>
      </c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</row>
    <row r="35" spans="1:62" x14ac:dyDescent="0.2">
      <c r="A35" s="92" t="s">
        <v>190</v>
      </c>
      <c r="B35" s="433" t="s">
        <v>521</v>
      </c>
      <c r="C35" s="584">
        <v>570.90551181102364</v>
      </c>
      <c r="D35" s="16"/>
      <c r="E35" s="17">
        <v>29.7</v>
      </c>
      <c r="F35" s="17">
        <v>0</v>
      </c>
      <c r="G35" s="393">
        <v>1977.313149606299</v>
      </c>
      <c r="H35" s="271">
        <v>85.98</v>
      </c>
      <c r="I35" s="17">
        <v>0</v>
      </c>
      <c r="J35" s="271">
        <v>59.57</v>
      </c>
      <c r="K35" s="17">
        <v>40</v>
      </c>
      <c r="L35" s="271">
        <v>100.86</v>
      </c>
      <c r="M35" s="271">
        <v>1046.93</v>
      </c>
      <c r="N35" s="271">
        <v>36</v>
      </c>
      <c r="O35" s="58"/>
      <c r="P35" s="441">
        <f t="shared" si="55"/>
        <v>2092.9931496062991</v>
      </c>
      <c r="Q35" s="441">
        <f t="shared" si="56"/>
        <v>3290.3731496062992</v>
      </c>
      <c r="R35" s="533"/>
      <c r="S35" s="441" t="e">
        <f t="shared" si="57"/>
        <v>#REF!</v>
      </c>
      <c r="T35" s="441" t="e">
        <f t="shared" si="58"/>
        <v>#REF!</v>
      </c>
      <c r="U35" s="533"/>
      <c r="V35" s="441" t="e">
        <f>MAX(V$29:V$30)+IF($B$2="mil",1,0.0254)*DDR2Specs!$B$3</f>
        <v>#REF!</v>
      </c>
      <c r="W35" s="441" t="e">
        <f>MIN(V$29:V$30)+IF($B$2="mil",1,0.0254)*DDR2Specs!$C$3</f>
        <v>#REF!</v>
      </c>
      <c r="X35" s="18"/>
      <c r="Y35" s="534" t="e">
        <f t="shared" si="59"/>
        <v>#REF!</v>
      </c>
      <c r="Z35" s="447" t="e">
        <f t="shared" si="60"/>
        <v>#REF!</v>
      </c>
      <c r="AA35" s="18"/>
      <c r="AB35" s="441" t="e">
        <f>MAX(AB$29:AB$30)+IF($B$2="mil",1,0.0254)*DDR2Specs!$E$3</f>
        <v>#REF!</v>
      </c>
      <c r="AC35" s="441" t="e">
        <f>MIN(AB$29:AB$30)+IF($B$2="mil",1,0.0254)*DDR2Specs!$F$3</f>
        <v>#REF!</v>
      </c>
      <c r="AD35" s="18"/>
      <c r="AE35" s="534" t="e">
        <f t="shared" si="42"/>
        <v>#REF!</v>
      </c>
      <c r="AF35" s="447" t="e">
        <f t="shared" si="43"/>
        <v>#REF!</v>
      </c>
      <c r="AG35" s="447" t="e">
        <f t="shared" si="44"/>
        <v>#REF!</v>
      </c>
      <c r="AH35" s="447" t="e">
        <f t="shared" si="45"/>
        <v>#REF!</v>
      </c>
      <c r="AI35" s="447" t="e">
        <f t="shared" si="46"/>
        <v>#REF!</v>
      </c>
      <c r="AJ35" s="447" t="e">
        <f t="shared" ca="1" si="47"/>
        <v>#NAME?</v>
      </c>
      <c r="AK35" s="447" t="e">
        <f t="shared" si="61"/>
        <v>#REF!</v>
      </c>
      <c r="AL35" s="447" t="e">
        <f t="shared" si="62"/>
        <v>#REF!</v>
      </c>
      <c r="AM35" s="447" t="e">
        <f t="shared" ca="1" si="48"/>
        <v>#NAME?</v>
      </c>
      <c r="AN35" s="447" t="e">
        <f t="shared" ca="1" si="49"/>
        <v>#NAME?</v>
      </c>
      <c r="AO35" s="447" t="e">
        <f t="shared" si="50"/>
        <v>#REF!</v>
      </c>
      <c r="AP35" s="447" t="e">
        <f t="shared" si="51"/>
        <v>#REF!</v>
      </c>
      <c r="AQ35" s="447" t="e">
        <f t="shared" si="52"/>
        <v>#REF!</v>
      </c>
      <c r="AR35" s="447" t="e">
        <f t="shared" si="53"/>
        <v>#REF!</v>
      </c>
      <c r="AS35" s="18"/>
      <c r="AT35" s="2" t="e">
        <f t="shared" ca="1" si="54"/>
        <v>#REF!</v>
      </c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</row>
    <row r="36" spans="1:62" x14ac:dyDescent="0.2">
      <c r="A36" s="92" t="s">
        <v>191</v>
      </c>
      <c r="B36" s="433" t="s">
        <v>397</v>
      </c>
      <c r="C36" s="584">
        <v>498.14960629921262</v>
      </c>
      <c r="D36" s="16"/>
      <c r="E36" s="17">
        <v>29.7</v>
      </c>
      <c r="F36" s="17">
        <v>0</v>
      </c>
      <c r="G36" s="393">
        <v>1825.338267716535</v>
      </c>
      <c r="H36" s="271">
        <v>122.01</v>
      </c>
      <c r="I36" s="17">
        <v>0</v>
      </c>
      <c r="J36" s="271">
        <v>108.21</v>
      </c>
      <c r="K36" s="17">
        <v>40</v>
      </c>
      <c r="L36" s="271">
        <v>56.86</v>
      </c>
      <c r="M36" s="271">
        <v>1015.04</v>
      </c>
      <c r="N36" s="271">
        <v>106.79</v>
      </c>
      <c r="O36" s="58"/>
      <c r="P36" s="441">
        <f t="shared" si="55"/>
        <v>1977.0482677165351</v>
      </c>
      <c r="Q36" s="441">
        <f t="shared" si="56"/>
        <v>3181.9382677165349</v>
      </c>
      <c r="R36" s="533"/>
      <c r="S36" s="441" t="e">
        <f t="shared" si="57"/>
        <v>#REF!</v>
      </c>
      <c r="T36" s="441" t="e">
        <f t="shared" si="58"/>
        <v>#REF!</v>
      </c>
      <c r="U36" s="533"/>
      <c r="V36" s="441" t="e">
        <f>MAX(V$29:V$30)+IF($B$2="mil",1,0.0254)*DDR2Specs!$B$3</f>
        <v>#REF!</v>
      </c>
      <c r="W36" s="441" t="e">
        <f>MIN(V$29:V$30)+IF($B$2="mil",1,0.0254)*DDR2Specs!$C$3</f>
        <v>#REF!</v>
      </c>
      <c r="X36" s="18"/>
      <c r="Y36" s="534" t="e">
        <f t="shared" si="59"/>
        <v>#REF!</v>
      </c>
      <c r="Z36" s="447" t="e">
        <f t="shared" si="60"/>
        <v>#REF!</v>
      </c>
      <c r="AA36" s="18"/>
      <c r="AB36" s="441" t="e">
        <f>MAX(AB$29:AB$30)+IF($B$2="mil",1,0.0254)*DDR2Specs!$E$3</f>
        <v>#REF!</v>
      </c>
      <c r="AC36" s="441" t="e">
        <f>MIN(AB$29:AB$30)+IF($B$2="mil",1,0.0254)*DDR2Specs!$F$3</f>
        <v>#REF!</v>
      </c>
      <c r="AD36" s="18"/>
      <c r="AE36" s="534" t="e">
        <f t="shared" si="42"/>
        <v>#REF!</v>
      </c>
      <c r="AF36" s="447" t="e">
        <f t="shared" si="43"/>
        <v>#REF!</v>
      </c>
      <c r="AG36" s="447" t="e">
        <f t="shared" si="44"/>
        <v>#REF!</v>
      </c>
      <c r="AH36" s="447" t="e">
        <f t="shared" si="45"/>
        <v>#REF!</v>
      </c>
      <c r="AI36" s="447" t="e">
        <f t="shared" si="46"/>
        <v>#REF!</v>
      </c>
      <c r="AJ36" s="447" t="e">
        <f t="shared" ca="1" si="47"/>
        <v>#NAME?</v>
      </c>
      <c r="AK36" s="447" t="e">
        <f t="shared" si="61"/>
        <v>#REF!</v>
      </c>
      <c r="AL36" s="447" t="e">
        <f t="shared" si="62"/>
        <v>#REF!</v>
      </c>
      <c r="AM36" s="447" t="e">
        <f t="shared" ca="1" si="48"/>
        <v>#NAME?</v>
      </c>
      <c r="AN36" s="447" t="e">
        <f t="shared" ca="1" si="49"/>
        <v>#NAME?</v>
      </c>
      <c r="AO36" s="447" t="e">
        <f t="shared" si="50"/>
        <v>#REF!</v>
      </c>
      <c r="AP36" s="447" t="e">
        <f t="shared" si="51"/>
        <v>#REF!</v>
      </c>
      <c r="AQ36" s="447" t="e">
        <f t="shared" si="52"/>
        <v>#REF!</v>
      </c>
      <c r="AR36" s="447" t="e">
        <f t="shared" si="53"/>
        <v>#REF!</v>
      </c>
      <c r="AS36" s="18"/>
      <c r="AT36" s="2" t="e">
        <f t="shared" ca="1" si="54"/>
        <v>#REF!</v>
      </c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</row>
    <row r="37" spans="1:62" x14ac:dyDescent="0.2">
      <c r="A37" s="92" t="s">
        <v>192</v>
      </c>
      <c r="B37" s="433" t="s">
        <v>395</v>
      </c>
      <c r="C37" s="584">
        <v>466.29921259842519</v>
      </c>
      <c r="D37" s="16"/>
      <c r="E37" s="17">
        <v>29.7</v>
      </c>
      <c r="F37" s="17">
        <v>0</v>
      </c>
      <c r="G37" s="393">
        <v>1928.5582677165351</v>
      </c>
      <c r="H37" s="271">
        <v>73.790000000000006</v>
      </c>
      <c r="I37" s="17">
        <v>0</v>
      </c>
      <c r="J37" s="271">
        <v>60.78</v>
      </c>
      <c r="K37" s="17">
        <v>40</v>
      </c>
      <c r="L37" s="271">
        <v>90.78</v>
      </c>
      <c r="M37" s="271">
        <v>1010.31</v>
      </c>
      <c r="N37" s="271">
        <v>71.53</v>
      </c>
      <c r="O37" s="58"/>
      <c r="P37" s="441">
        <f t="shared" si="55"/>
        <v>2032.0482677165351</v>
      </c>
      <c r="Q37" s="441">
        <f t="shared" si="56"/>
        <v>3231.6582677165356</v>
      </c>
      <c r="R37" s="533"/>
      <c r="S37" s="441" t="e">
        <f t="shared" si="57"/>
        <v>#REF!</v>
      </c>
      <c r="T37" s="441" t="e">
        <f t="shared" si="58"/>
        <v>#REF!</v>
      </c>
      <c r="U37" s="533"/>
      <c r="V37" s="441" t="e">
        <f>MAX(V$29:V$30)+IF($B$2="mil",1,0.0254)*DDR2Specs!$B$3</f>
        <v>#REF!</v>
      </c>
      <c r="W37" s="441" t="e">
        <f>MIN(V$29:V$30)+IF($B$2="mil",1,0.0254)*DDR2Specs!$C$3</f>
        <v>#REF!</v>
      </c>
      <c r="X37" s="18"/>
      <c r="Y37" s="534" t="e">
        <f t="shared" si="59"/>
        <v>#REF!</v>
      </c>
      <c r="Z37" s="447" t="e">
        <f t="shared" si="60"/>
        <v>#REF!</v>
      </c>
      <c r="AA37" s="18"/>
      <c r="AB37" s="441" t="e">
        <f>MAX(AB$29:AB$30)+IF($B$2="mil",1,0.0254)*DDR2Specs!$E$3</f>
        <v>#REF!</v>
      </c>
      <c r="AC37" s="441" t="e">
        <f>MIN(AB$29:AB$30)+IF($B$2="mil",1,0.0254)*DDR2Specs!$F$3</f>
        <v>#REF!</v>
      </c>
      <c r="AD37" s="18"/>
      <c r="AE37" s="534" t="e">
        <f t="shared" si="42"/>
        <v>#REF!</v>
      </c>
      <c r="AF37" s="447" t="e">
        <f t="shared" si="43"/>
        <v>#REF!</v>
      </c>
      <c r="AG37" s="447" t="e">
        <f t="shared" si="44"/>
        <v>#REF!</v>
      </c>
      <c r="AH37" s="447" t="e">
        <f t="shared" si="45"/>
        <v>#REF!</v>
      </c>
      <c r="AI37" s="447" t="e">
        <f t="shared" si="46"/>
        <v>#REF!</v>
      </c>
      <c r="AJ37" s="447" t="e">
        <f t="shared" ca="1" si="47"/>
        <v>#NAME?</v>
      </c>
      <c r="AK37" s="447" t="e">
        <f t="shared" si="61"/>
        <v>#REF!</v>
      </c>
      <c r="AL37" s="447" t="e">
        <f t="shared" si="62"/>
        <v>#REF!</v>
      </c>
      <c r="AM37" s="447" t="e">
        <f t="shared" ca="1" si="48"/>
        <v>#NAME?</v>
      </c>
      <c r="AN37" s="447" t="e">
        <f t="shared" ca="1" si="49"/>
        <v>#NAME?</v>
      </c>
      <c r="AO37" s="447" t="e">
        <f t="shared" si="50"/>
        <v>#REF!</v>
      </c>
      <c r="AP37" s="447" t="e">
        <f t="shared" si="51"/>
        <v>#REF!</v>
      </c>
      <c r="AQ37" s="447" t="e">
        <f t="shared" si="52"/>
        <v>#REF!</v>
      </c>
      <c r="AR37" s="447" t="e">
        <f t="shared" si="53"/>
        <v>#REF!</v>
      </c>
      <c r="AS37" s="18"/>
      <c r="AT37" s="2" t="e">
        <f t="shared" ca="1" si="54"/>
        <v>#REF!</v>
      </c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</row>
    <row r="38" spans="1:62" x14ac:dyDescent="0.2">
      <c r="A38" s="92" t="s">
        <v>193</v>
      </c>
      <c r="B38" s="433" t="s">
        <v>402</v>
      </c>
      <c r="C38" s="584">
        <v>475.51181102362204</v>
      </c>
      <c r="D38" s="16"/>
      <c r="E38" s="17">
        <v>29.7</v>
      </c>
      <c r="F38" s="17">
        <v>0</v>
      </c>
      <c r="G38" s="393">
        <v>1950.4785039370081</v>
      </c>
      <c r="H38" s="271">
        <v>119.98</v>
      </c>
      <c r="I38" s="17">
        <v>0</v>
      </c>
      <c r="J38" s="271">
        <v>97.2</v>
      </c>
      <c r="K38" s="17">
        <v>40</v>
      </c>
      <c r="L38" s="271">
        <v>97</v>
      </c>
      <c r="M38" s="271">
        <v>1012.41</v>
      </c>
      <c r="N38" s="271">
        <v>76.06</v>
      </c>
      <c r="O38" s="58"/>
      <c r="P38" s="441">
        <f t="shared" si="55"/>
        <v>2100.1585039370079</v>
      </c>
      <c r="Q38" s="441">
        <f t="shared" si="56"/>
        <v>3302.848503937008</v>
      </c>
      <c r="R38" s="533"/>
      <c r="S38" s="441" t="e">
        <f t="shared" si="57"/>
        <v>#REF!</v>
      </c>
      <c r="T38" s="441" t="e">
        <f t="shared" si="58"/>
        <v>#REF!</v>
      </c>
      <c r="U38" s="533"/>
      <c r="V38" s="441" t="e">
        <f>MAX(V$29:V$30)+IF($B$2="mil",1,0.0254)*DDR2Specs!$B$3</f>
        <v>#REF!</v>
      </c>
      <c r="W38" s="441" t="e">
        <f>MIN(V$29:V$30)+IF($B$2="mil",1,0.0254)*DDR2Specs!$C$3</f>
        <v>#REF!</v>
      </c>
      <c r="X38" s="18"/>
      <c r="Y38" s="534" t="e">
        <f t="shared" si="59"/>
        <v>#REF!</v>
      </c>
      <c r="Z38" s="447" t="e">
        <f t="shared" si="60"/>
        <v>#REF!</v>
      </c>
      <c r="AA38" s="18"/>
      <c r="AB38" s="441" t="e">
        <f>MAX(AB$29:AB$30)+IF($B$2="mil",1,0.0254)*DDR2Specs!$E$3</f>
        <v>#REF!</v>
      </c>
      <c r="AC38" s="441" t="e">
        <f>MIN(AB$29:AB$30)+IF($B$2="mil",1,0.0254)*DDR2Specs!$F$3</f>
        <v>#REF!</v>
      </c>
      <c r="AD38" s="18"/>
      <c r="AE38" s="534" t="e">
        <f t="shared" si="42"/>
        <v>#REF!</v>
      </c>
      <c r="AF38" s="447" t="e">
        <f t="shared" si="43"/>
        <v>#REF!</v>
      </c>
      <c r="AG38" s="447" t="e">
        <f t="shared" si="44"/>
        <v>#REF!</v>
      </c>
      <c r="AH38" s="447" t="e">
        <f t="shared" si="45"/>
        <v>#REF!</v>
      </c>
      <c r="AI38" s="447" t="e">
        <f t="shared" si="46"/>
        <v>#REF!</v>
      </c>
      <c r="AJ38" s="447" t="e">
        <f t="shared" ca="1" si="47"/>
        <v>#NAME?</v>
      </c>
      <c r="AK38" s="447" t="e">
        <f t="shared" si="61"/>
        <v>#REF!</v>
      </c>
      <c r="AL38" s="447" t="e">
        <f t="shared" si="62"/>
        <v>#REF!</v>
      </c>
      <c r="AM38" s="447" t="e">
        <f t="shared" ca="1" si="48"/>
        <v>#NAME?</v>
      </c>
      <c r="AN38" s="447" t="e">
        <f t="shared" ca="1" si="49"/>
        <v>#NAME?</v>
      </c>
      <c r="AO38" s="447" t="e">
        <f t="shared" si="50"/>
        <v>#REF!</v>
      </c>
      <c r="AP38" s="447" t="e">
        <f t="shared" si="51"/>
        <v>#REF!</v>
      </c>
      <c r="AQ38" s="447" t="e">
        <f t="shared" si="52"/>
        <v>#REF!</v>
      </c>
      <c r="AR38" s="447" t="e">
        <f t="shared" si="53"/>
        <v>#REF!</v>
      </c>
      <c r="AS38" s="18"/>
      <c r="AT38" s="2" t="e">
        <f t="shared" ca="1" si="54"/>
        <v>#REF!</v>
      </c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</row>
    <row r="39" spans="1:62" x14ac:dyDescent="0.2">
      <c r="A39" s="92" t="s">
        <v>194</v>
      </c>
      <c r="B39" s="437" t="s">
        <v>555</v>
      </c>
      <c r="C39" s="584">
        <v>464.48818897637796</v>
      </c>
      <c r="D39" s="16"/>
      <c r="E39" s="17">
        <v>29.7</v>
      </c>
      <c r="F39" s="17">
        <v>0</v>
      </c>
      <c r="G39" s="393">
        <v>1967.15</v>
      </c>
      <c r="H39" s="271">
        <v>77.84</v>
      </c>
      <c r="I39" s="17">
        <v>0</v>
      </c>
      <c r="J39" s="271">
        <v>56.64</v>
      </c>
      <c r="K39" s="17">
        <v>40</v>
      </c>
      <c r="L39" s="271">
        <v>94.93</v>
      </c>
      <c r="M39" s="271">
        <v>1052.75</v>
      </c>
      <c r="N39" s="271">
        <v>31.49</v>
      </c>
      <c r="O39" s="58"/>
      <c r="P39" s="441">
        <f t="shared" si="55"/>
        <v>2074.69</v>
      </c>
      <c r="Q39" s="441">
        <f t="shared" si="56"/>
        <v>3272.66</v>
      </c>
      <c r="R39" s="533"/>
      <c r="S39" s="441" t="e">
        <f t="shared" si="57"/>
        <v>#REF!</v>
      </c>
      <c r="T39" s="441" t="e">
        <f t="shared" si="58"/>
        <v>#REF!</v>
      </c>
      <c r="U39" s="533"/>
      <c r="V39" s="441" t="e">
        <f>MAX(V$29:V$30)+IF($B$2="mil",1,0.0254)*DDR2Specs!$B$3</f>
        <v>#REF!</v>
      </c>
      <c r="W39" s="441" t="e">
        <f>MIN(V$29:V$30)+IF($B$2="mil",1,0.0254)*DDR2Specs!$C$3</f>
        <v>#REF!</v>
      </c>
      <c r="X39" s="18"/>
      <c r="Y39" s="534" t="e">
        <f t="shared" si="59"/>
        <v>#REF!</v>
      </c>
      <c r="Z39" s="447" t="e">
        <f t="shared" si="60"/>
        <v>#REF!</v>
      </c>
      <c r="AA39" s="18"/>
      <c r="AB39" s="441" t="e">
        <f>MAX(AB$29:AB$30)+IF($B$2="mil",1,0.0254)*DDR2Specs!$E$3</f>
        <v>#REF!</v>
      </c>
      <c r="AC39" s="441" t="e">
        <f>MIN(AB$29:AB$30)+IF($B$2="mil",1,0.0254)*DDR2Specs!$F$3</f>
        <v>#REF!</v>
      </c>
      <c r="AD39" s="18"/>
      <c r="AE39" s="534" t="e">
        <f t="shared" si="42"/>
        <v>#REF!</v>
      </c>
      <c r="AF39" s="447" t="e">
        <f t="shared" si="43"/>
        <v>#REF!</v>
      </c>
      <c r="AG39" s="447" t="e">
        <f t="shared" si="44"/>
        <v>#REF!</v>
      </c>
      <c r="AH39" s="447" t="e">
        <f t="shared" si="45"/>
        <v>#REF!</v>
      </c>
      <c r="AI39" s="447" t="e">
        <f t="shared" si="46"/>
        <v>#REF!</v>
      </c>
      <c r="AJ39" s="447" t="e">
        <f t="shared" ca="1" si="47"/>
        <v>#NAME?</v>
      </c>
      <c r="AK39" s="447" t="e">
        <f t="shared" si="61"/>
        <v>#REF!</v>
      </c>
      <c r="AL39" s="447" t="e">
        <f t="shared" si="62"/>
        <v>#REF!</v>
      </c>
      <c r="AM39" s="447" t="e">
        <f t="shared" ca="1" si="48"/>
        <v>#NAME?</v>
      </c>
      <c r="AN39" s="447" t="e">
        <f t="shared" ca="1" si="49"/>
        <v>#NAME?</v>
      </c>
      <c r="AO39" s="447" t="e">
        <f t="shared" si="50"/>
        <v>#REF!</v>
      </c>
      <c r="AP39" s="447" t="e">
        <f t="shared" si="51"/>
        <v>#REF!</v>
      </c>
      <c r="AQ39" s="447" t="e">
        <f t="shared" si="52"/>
        <v>#REF!</v>
      </c>
      <c r="AR39" s="447" t="e">
        <f t="shared" si="53"/>
        <v>#REF!</v>
      </c>
      <c r="AS39" s="18"/>
      <c r="AT39" s="2" t="e">
        <f t="shared" ca="1" si="54"/>
        <v>#REF!</v>
      </c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</row>
    <row r="40" spans="1:62" x14ac:dyDescent="0.2">
      <c r="A40" s="94" t="s">
        <v>248</v>
      </c>
      <c r="B40" s="438"/>
      <c r="C40" s="585"/>
      <c r="D40" s="51"/>
      <c r="E40" s="68"/>
      <c r="F40" s="68"/>
      <c r="G40" s="394"/>
      <c r="H40" s="265"/>
      <c r="I40" s="265"/>
      <c r="J40" s="265"/>
      <c r="K40" s="265"/>
      <c r="L40" s="265"/>
      <c r="M40" s="265"/>
      <c r="N40" s="265"/>
      <c r="O40" s="8"/>
      <c r="P40" s="68"/>
      <c r="Q40" s="68"/>
      <c r="R40" s="68"/>
      <c r="S40" s="539"/>
      <c r="T40" s="539"/>
      <c r="U40" s="539"/>
      <c r="V40" s="539"/>
      <c r="W40" s="540"/>
      <c r="X40" s="540"/>
      <c r="Y40" s="541"/>
      <c r="Z40" s="15"/>
      <c r="AA40" s="540"/>
      <c r="AB40" s="539"/>
      <c r="AC40" s="540"/>
      <c r="AD40" s="540"/>
      <c r="AE40" s="541"/>
      <c r="AF40" s="15"/>
      <c r="AG40" s="15"/>
      <c r="AH40" s="15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69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</row>
    <row r="41" spans="1:62" x14ac:dyDescent="0.2">
      <c r="A41" s="103" t="str">
        <f>'DDR2 Strobes - 1x16'!$A$16</f>
        <v>SA_DQS3</v>
      </c>
      <c r="B41" s="439" t="str">
        <f>'DDR2 Strobes - 1x16'!$B$16</f>
        <v>AB21</v>
      </c>
      <c r="C41" s="586"/>
      <c r="D41" s="44"/>
      <c r="E41" s="67"/>
      <c r="F41" s="67"/>
      <c r="G41" s="395"/>
      <c r="H41" s="266"/>
      <c r="I41" s="266"/>
      <c r="J41" s="266"/>
      <c r="K41" s="266"/>
      <c r="L41" s="266"/>
      <c r="M41" s="266"/>
      <c r="N41" s="266"/>
      <c r="O41" s="67"/>
      <c r="P41" s="67"/>
      <c r="Q41" s="67"/>
      <c r="R41" s="67"/>
      <c r="S41" s="48"/>
      <c r="T41" s="48"/>
      <c r="U41" s="48"/>
      <c r="V41" s="48" t="e">
        <f>'DDR2 Strobes - 1x16'!$S$16</f>
        <v>#REF!</v>
      </c>
      <c r="W41" s="48"/>
      <c r="X41" s="48"/>
      <c r="Y41" s="48"/>
      <c r="Z41" s="542"/>
      <c r="AA41" s="48"/>
      <c r="AB41" s="48" t="e">
        <f>'DDR2 Strobes - 1x16'!$T$16</f>
        <v>#REF!</v>
      </c>
      <c r="AC41" s="48"/>
      <c r="AD41" s="48"/>
      <c r="AE41" s="48"/>
      <c r="AF41" s="542"/>
      <c r="AG41" s="542"/>
      <c r="AH41" s="542"/>
      <c r="AI41" s="542"/>
      <c r="AJ41" s="542"/>
      <c r="AK41" s="542"/>
      <c r="AL41" s="542"/>
      <c r="AM41" s="542"/>
      <c r="AN41" s="542"/>
      <c r="AO41" s="542"/>
      <c r="AP41" s="542"/>
      <c r="AQ41" s="542"/>
      <c r="AR41" s="542"/>
      <c r="AS41" s="48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</row>
    <row r="42" spans="1:62" x14ac:dyDescent="0.2">
      <c r="A42" s="103" t="str">
        <f>'DDR2 Strobes - 1x16'!$A$17</f>
        <v>SA_DQS3#</v>
      </c>
      <c r="B42" s="112" t="str">
        <f>'DDR2 Strobes - 1x16'!$B$17</f>
        <v>AB20</v>
      </c>
      <c r="C42" s="586"/>
      <c r="D42" s="44"/>
      <c r="E42" s="67"/>
      <c r="F42" s="67"/>
      <c r="G42" s="395"/>
      <c r="H42" s="266"/>
      <c r="I42" s="266"/>
      <c r="J42" s="266"/>
      <c r="K42" s="266"/>
      <c r="L42" s="266"/>
      <c r="M42" s="266"/>
      <c r="N42" s="266"/>
      <c r="O42" s="67"/>
      <c r="P42" s="67"/>
      <c r="Q42" s="536"/>
      <c r="R42" s="536"/>
      <c r="S42" s="537"/>
      <c r="T42" s="537"/>
      <c r="U42" s="48"/>
      <c r="V42" s="48" t="e">
        <f>'DDR2 Strobes - 1x16'!$S$17</f>
        <v>#REF!</v>
      </c>
      <c r="W42" s="48"/>
      <c r="X42" s="48"/>
      <c r="Y42" s="48"/>
      <c r="Z42" s="542"/>
      <c r="AA42" s="48"/>
      <c r="AB42" s="48" t="e">
        <f>'DDR2 Strobes - 1x16'!$T$17</f>
        <v>#REF!</v>
      </c>
      <c r="AC42" s="48"/>
      <c r="AD42" s="48"/>
      <c r="AE42" s="48"/>
      <c r="AF42" s="542"/>
      <c r="AG42" s="542"/>
      <c r="AH42" s="542"/>
      <c r="AI42" s="543"/>
      <c r="AJ42" s="543"/>
      <c r="AK42" s="543"/>
      <c r="AL42" s="543"/>
      <c r="AM42" s="543"/>
      <c r="AN42" s="543"/>
      <c r="AO42" s="543"/>
      <c r="AP42" s="543"/>
      <c r="AQ42" s="543"/>
      <c r="AR42" s="543"/>
      <c r="AS42" s="48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</row>
    <row r="43" spans="1:62" x14ac:dyDescent="0.2">
      <c r="A43" s="92" t="s">
        <v>195</v>
      </c>
      <c r="B43" s="434" t="s">
        <v>522</v>
      </c>
      <c r="C43" s="584">
        <v>764.01574803149606</v>
      </c>
      <c r="D43" s="16"/>
      <c r="E43" s="17">
        <v>29.7</v>
      </c>
      <c r="F43" s="17">
        <v>0</v>
      </c>
      <c r="G43" s="393">
        <v>1923.74</v>
      </c>
      <c r="H43" s="271">
        <v>110.8</v>
      </c>
      <c r="I43" s="17">
        <v>0</v>
      </c>
      <c r="J43" s="271">
        <v>89.74</v>
      </c>
      <c r="K43" s="17">
        <v>40</v>
      </c>
      <c r="L43" s="271">
        <v>74.17</v>
      </c>
      <c r="M43" s="271">
        <v>951.47</v>
      </c>
      <c r="N43" s="271">
        <v>76.06</v>
      </c>
      <c r="O43" s="58"/>
      <c r="P43" s="441">
        <f xml:space="preserve"> E43+F43+G43+H43</f>
        <v>2064.2400000000002</v>
      </c>
      <c r="Q43" s="441">
        <f>SUM(E43:G43,I43:N43)</f>
        <v>3184.8800000000006</v>
      </c>
      <c r="R43" s="533"/>
      <c r="S43" s="441" t="e">
        <f>P43+IF($B$2="mil",1,0.0254)*C43</f>
        <v>#REF!</v>
      </c>
      <c r="T43" s="441" t="e">
        <f>Q43+IF($B$2="mil",1,0.0254)*C43</f>
        <v>#REF!</v>
      </c>
      <c r="U43" s="533"/>
      <c r="V43" s="441" t="e">
        <f>MAX(V$41:V$42)+IF($B$2="mil",1,0.0254)*DDR2Specs!$B$3</f>
        <v>#REF!</v>
      </c>
      <c r="W43" s="441" t="e">
        <f>MIN(V$41:V$42)+IF($B$2="mil",1,0.0254)*DDR2Specs!$C$3</f>
        <v>#REF!</v>
      </c>
      <c r="X43" s="18"/>
      <c r="Y43" s="534" t="e">
        <f>IF($S43&lt;$V43,$V43-$S43,"Pass")</f>
        <v>#REF!</v>
      </c>
      <c r="Z43" s="447" t="e">
        <f>IF($S43&gt;$W43,$S43-$W43,"Pass")</f>
        <v>#REF!</v>
      </c>
      <c r="AA43" s="18"/>
      <c r="AB43" s="441" t="e">
        <f>MAX(AB$41:AB$42)+IF($B$2="mil",1,0.0254)*DDR2Specs!$E$3</f>
        <v>#REF!</v>
      </c>
      <c r="AC43" s="441" t="e">
        <f>MIN(AB$41:AB$42)+IF($B$2="mil",1,0.0254)*DDR2Specs!$F$3</f>
        <v>#REF!</v>
      </c>
      <c r="AD43" s="18"/>
      <c r="AE43" s="534" t="e">
        <f t="shared" ref="AE43:AE51" si="63">IF($T43&lt;$AB43,$AB43-$T43,"Pass")</f>
        <v>#REF!</v>
      </c>
      <c r="AF43" s="447" t="e">
        <f t="shared" ref="AF43:AF51" si="64">IF($T43&gt;$AC43,$T43-$AC43,"Pass")</f>
        <v>#REF!</v>
      </c>
      <c r="AG43" s="447" t="e">
        <f t="shared" ref="AG43:AG51" si="65">IF($E43&lt;=IF($B$2="mil",1,0.0254)*50,"Pass",IF($B$2="mil",1,0.0254)*50-$E43)</f>
        <v>#REF!</v>
      </c>
      <c r="AH43" s="447" t="e">
        <f t="shared" ref="AH43:AH51" si="66">IF($F43&lt;=IF($B$2="mil",1,0.0254)*500,"Pass",IF($B$2="mil",1,0.0254)*500-$F43)</f>
        <v>#REF!</v>
      </c>
      <c r="AI43" s="447" t="e">
        <f t="shared" ref="AI43:AI51" si="67">IF($H43&lt;=IF($B$2="mil",1,0.0254)*250,"Pass",IF($B$2="mil",1,0.0254)*250-$H43)</f>
        <v>#REF!</v>
      </c>
      <c r="AJ43" s="447" t="e">
        <f t="shared" ref="AJ43:AJ51" ca="1" si="68">CheckLength(IF($B$2="mil",1,0.0254)*1125, IF($B$2="mil",1,0.0254)*125-J43, 0, I43,J43,0)</f>
        <v>#NAME?</v>
      </c>
      <c r="AK43" s="447" t="e">
        <f>IF($J43&lt;=IF($B$2="mil",1,0.0254)*125,"Pass",IF($B$2="mil",1,0.0254)*125-$J43)</f>
        <v>#REF!</v>
      </c>
      <c r="AL43" s="447" t="e">
        <f>IF($L43&lt;=IF($B$2="mil",1,0.0254)*125,"Pass",IF($B$2="mil",1,0.0254)*125-$L43)</f>
        <v>#REF!</v>
      </c>
      <c r="AM43" s="447" t="e">
        <f t="shared" ref="AM43:AM51" ca="1" si="69">CheckLength(IF($B$2="mil",1,0.0254)*1525, IF($B$2="mil",1,0.0254)*125-L43, IF($B$2="mil",1,0.0254)*150-N43, M43,L43,N43)</f>
        <v>#NAME?</v>
      </c>
      <c r="AN43" s="447" t="e">
        <f t="shared" ref="AN43:AN51" ca="1" si="70">CheckLength2(IF($B$2="mil",1,0.0254)*1400,M43,N43,0)</f>
        <v>#NAME?</v>
      </c>
      <c r="AO43" s="447" t="e">
        <f t="shared" ref="AO43:AO51" si="71">IF(AND($P43&gt;=IF($B$2="mil",1,0.0254)*500, $P43&lt;=IF($B$2="mil",1,0.0254)*4000),"Pass",IF($B$2="mil",1,0.0254)*4000-$P43)</f>
        <v>#REF!</v>
      </c>
      <c r="AP43" s="447" t="e">
        <f t="shared" ref="AP43:AP51" si="72">IF(AND($S43&gt;=IF($B$2="mil",1,0.0254)*500, $S43&lt;=IF($B$2="mil",1,0.0254)*4500),"Pass",IF($B$2="mil",1,0.0254)*4500-$S43)</f>
        <v>#REF!</v>
      </c>
      <c r="AQ43" s="447" t="e">
        <f t="shared" ref="AQ43:AQ51" si="73">IF(AND($Q43&gt;=IF($B$2="mil",1,0.0254)*500, $Q43&lt;=IF($B$2="mil",1,0.0254)*5500),"Pass",IF($B$2="mil",1,0.0254)*5500-$Q43)</f>
        <v>#REF!</v>
      </c>
      <c r="AR43" s="447" t="e">
        <f t="shared" ref="AR43:AR51" si="74">IF(AND($T43&gt;=IF($B$2="mil",1,0.0254)*500, $T43&lt;=IF($B$2="mil",1,0.0254)*6000),"Pass",IF($B$2="mil",1,0.0254)*6000-$T43)</f>
        <v>#REF!</v>
      </c>
      <c r="AS43" s="18"/>
      <c r="AT43" s="2" t="e">
        <f t="shared" ref="AT43:AT51" ca="1" si="75">IF(AND(AG43="Pass",AP43="Pass",AI43="Pass",AH43="Pass",AO43="Pass",Y43="Pass",Z43="Pass",AN43="Pass",AM43="Pass",AL43="Pass",AK43="Pass",AJ43="Pass",AE43="Pass",AF43="Pass",AQ43="Pass",AR43="Pass"),"Pass","Fail")</f>
        <v>#REF!</v>
      </c>
      <c r="AU43" s="2" t="e">
        <f ca="1">IF(AND(AT43="Pass",AT44="Pass",AT45="Pass",AT46="Pass",AT47="Pass",AT48="Pass",AT49="Pass",AT50="Pass",AT51="Pass"),"Pass","Fail")</f>
        <v>#REF!</v>
      </c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</row>
    <row r="44" spans="1:62" x14ac:dyDescent="0.2">
      <c r="A44" s="92" t="s">
        <v>196</v>
      </c>
      <c r="B44" s="433" t="s">
        <v>523</v>
      </c>
      <c r="C44" s="584">
        <v>725.94488188976379</v>
      </c>
      <c r="D44" s="16"/>
      <c r="E44" s="17">
        <v>29.7</v>
      </c>
      <c r="F44" s="17">
        <v>0</v>
      </c>
      <c r="G44" s="393">
        <v>2032.2903937007868</v>
      </c>
      <c r="H44" s="271">
        <v>74.099999999999994</v>
      </c>
      <c r="I44" s="17">
        <v>0</v>
      </c>
      <c r="J44" s="271">
        <v>61.2</v>
      </c>
      <c r="K44" s="17">
        <v>40</v>
      </c>
      <c r="L44" s="271">
        <v>60.6</v>
      </c>
      <c r="M44" s="271">
        <v>951.39</v>
      </c>
      <c r="N44" s="271">
        <v>76.06</v>
      </c>
      <c r="O44" s="58"/>
      <c r="P44" s="441">
        <f t="shared" ref="P44:P51" si="76" xml:space="preserve"> E44+F44+G44+H44</f>
        <v>2136.0903937007865</v>
      </c>
      <c r="Q44" s="441">
        <f t="shared" ref="Q44:Q51" si="77">SUM(E44:G44,I44:N44)</f>
        <v>3251.2403937007862</v>
      </c>
      <c r="R44" s="533"/>
      <c r="S44" s="441" t="e">
        <f t="shared" ref="S44:S51" si="78">P44+IF($B$2="mil",1,0.0254)*C44</f>
        <v>#REF!</v>
      </c>
      <c r="T44" s="441" t="e">
        <f t="shared" ref="T44:T51" si="79">Q44+IF($B$2="mil",1,0.0254)*C44</f>
        <v>#REF!</v>
      </c>
      <c r="U44" s="533"/>
      <c r="V44" s="441" t="e">
        <f>MAX(V$41:V$42)+IF($B$2="mil",1,0.0254)*DDR2Specs!$B$3</f>
        <v>#REF!</v>
      </c>
      <c r="W44" s="441" t="e">
        <f>MIN(V$41:V$42)+IF($B$2="mil",1,0.0254)*DDR2Specs!$C$3</f>
        <v>#REF!</v>
      </c>
      <c r="X44" s="18"/>
      <c r="Y44" s="534" t="e">
        <f t="shared" ref="Y44:Y51" si="80">IF($S44&lt;$V44,$V44-$S44,"Pass")</f>
        <v>#REF!</v>
      </c>
      <c r="Z44" s="447" t="e">
        <f t="shared" ref="Z44:Z51" si="81">IF($S44&gt;$W44,$S44-$W44,"Pass")</f>
        <v>#REF!</v>
      </c>
      <c r="AA44" s="18"/>
      <c r="AB44" s="441" t="e">
        <f>MAX(AB$41:AB$42)+IF($B$2="mil",1,0.0254)*DDR2Specs!$E$3</f>
        <v>#REF!</v>
      </c>
      <c r="AC44" s="441" t="e">
        <f>MIN(AB$41:AB$42)+IF($B$2="mil",1,0.0254)*DDR2Specs!$F$3</f>
        <v>#REF!</v>
      </c>
      <c r="AD44" s="18"/>
      <c r="AE44" s="534" t="e">
        <f t="shared" si="63"/>
        <v>#REF!</v>
      </c>
      <c r="AF44" s="447" t="e">
        <f t="shared" si="64"/>
        <v>#REF!</v>
      </c>
      <c r="AG44" s="447" t="e">
        <f t="shared" si="65"/>
        <v>#REF!</v>
      </c>
      <c r="AH44" s="447" t="e">
        <f t="shared" si="66"/>
        <v>#REF!</v>
      </c>
      <c r="AI44" s="447" t="e">
        <f t="shared" si="67"/>
        <v>#REF!</v>
      </c>
      <c r="AJ44" s="447" t="e">
        <f t="shared" ca="1" si="68"/>
        <v>#NAME?</v>
      </c>
      <c r="AK44" s="447" t="e">
        <f t="shared" ref="AK44:AK51" si="82">IF($J44&lt;=IF($B$2="mil",1,0.0254)*125,"Pass",IF($B$2="mil",1,0.0254)*125-$J44)</f>
        <v>#REF!</v>
      </c>
      <c r="AL44" s="447" t="e">
        <f t="shared" ref="AL44:AL51" si="83">IF($L44&lt;=IF($B$2="mil",1,0.0254)*125,"Pass",IF($B$2="mil",1,0.0254)*125-$L44)</f>
        <v>#REF!</v>
      </c>
      <c r="AM44" s="447" t="e">
        <f t="shared" ca="1" si="69"/>
        <v>#NAME?</v>
      </c>
      <c r="AN44" s="447" t="e">
        <f t="shared" ca="1" si="70"/>
        <v>#NAME?</v>
      </c>
      <c r="AO44" s="447" t="e">
        <f t="shared" si="71"/>
        <v>#REF!</v>
      </c>
      <c r="AP44" s="447" t="e">
        <f t="shared" si="72"/>
        <v>#REF!</v>
      </c>
      <c r="AQ44" s="447" t="e">
        <f t="shared" si="73"/>
        <v>#REF!</v>
      </c>
      <c r="AR44" s="447" t="e">
        <f t="shared" si="74"/>
        <v>#REF!</v>
      </c>
      <c r="AS44" s="18"/>
      <c r="AT44" s="2" t="e">
        <f t="shared" ca="1" si="75"/>
        <v>#REF!</v>
      </c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</row>
    <row r="45" spans="1:62" x14ac:dyDescent="0.2">
      <c r="A45" s="92" t="s">
        <v>197</v>
      </c>
      <c r="B45" s="433" t="s">
        <v>396</v>
      </c>
      <c r="C45" s="584">
        <v>793.66141732283461</v>
      </c>
      <c r="D45" s="16"/>
      <c r="E45" s="17">
        <v>29.7</v>
      </c>
      <c r="F45" s="17">
        <v>0</v>
      </c>
      <c r="G45" s="393">
        <v>1917.4644881889758</v>
      </c>
      <c r="H45" s="271">
        <v>126.17</v>
      </c>
      <c r="I45" s="17">
        <v>0</v>
      </c>
      <c r="J45" s="271">
        <v>105.68</v>
      </c>
      <c r="K45" s="17">
        <v>40</v>
      </c>
      <c r="L45" s="271">
        <v>76.599999999999994</v>
      </c>
      <c r="M45" s="271">
        <v>982.49</v>
      </c>
      <c r="N45" s="271">
        <v>34</v>
      </c>
      <c r="O45" s="58"/>
      <c r="P45" s="441">
        <f t="shared" si="76"/>
        <v>2073.3344881889757</v>
      </c>
      <c r="Q45" s="441">
        <f t="shared" si="77"/>
        <v>3185.9344881889756</v>
      </c>
      <c r="R45" s="533"/>
      <c r="S45" s="441" t="e">
        <f t="shared" si="78"/>
        <v>#REF!</v>
      </c>
      <c r="T45" s="441" t="e">
        <f t="shared" si="79"/>
        <v>#REF!</v>
      </c>
      <c r="U45" s="533"/>
      <c r="V45" s="441" t="e">
        <f>MAX(V$41:V$42)+IF($B$2="mil",1,0.0254)*DDR2Specs!$B$3</f>
        <v>#REF!</v>
      </c>
      <c r="W45" s="441" t="e">
        <f>MIN(V$41:V$42)+IF($B$2="mil",1,0.0254)*DDR2Specs!$C$3</f>
        <v>#REF!</v>
      </c>
      <c r="X45" s="18"/>
      <c r="Y45" s="534" t="e">
        <f t="shared" si="80"/>
        <v>#REF!</v>
      </c>
      <c r="Z45" s="447" t="e">
        <f t="shared" si="81"/>
        <v>#REF!</v>
      </c>
      <c r="AA45" s="18"/>
      <c r="AB45" s="441" t="e">
        <f>MAX(AB$41:AB$42)+IF($B$2="mil",1,0.0254)*DDR2Specs!$E$3</f>
        <v>#REF!</v>
      </c>
      <c r="AC45" s="441" t="e">
        <f>MIN(AB$41:AB$42)+IF($B$2="mil",1,0.0254)*DDR2Specs!$F$3</f>
        <v>#REF!</v>
      </c>
      <c r="AD45" s="18"/>
      <c r="AE45" s="534" t="e">
        <f t="shared" si="63"/>
        <v>#REF!</v>
      </c>
      <c r="AF45" s="447" t="e">
        <f t="shared" si="64"/>
        <v>#REF!</v>
      </c>
      <c r="AG45" s="447" t="e">
        <f t="shared" si="65"/>
        <v>#REF!</v>
      </c>
      <c r="AH45" s="447" t="e">
        <f t="shared" si="66"/>
        <v>#REF!</v>
      </c>
      <c r="AI45" s="447" t="e">
        <f t="shared" si="67"/>
        <v>#REF!</v>
      </c>
      <c r="AJ45" s="447" t="e">
        <f t="shared" ca="1" si="68"/>
        <v>#NAME?</v>
      </c>
      <c r="AK45" s="447" t="e">
        <f t="shared" si="82"/>
        <v>#REF!</v>
      </c>
      <c r="AL45" s="447" t="e">
        <f t="shared" si="83"/>
        <v>#REF!</v>
      </c>
      <c r="AM45" s="447" t="e">
        <f t="shared" ca="1" si="69"/>
        <v>#NAME?</v>
      </c>
      <c r="AN45" s="447" t="e">
        <f t="shared" ca="1" si="70"/>
        <v>#NAME?</v>
      </c>
      <c r="AO45" s="447" t="e">
        <f t="shared" si="71"/>
        <v>#REF!</v>
      </c>
      <c r="AP45" s="447" t="e">
        <f t="shared" si="72"/>
        <v>#REF!</v>
      </c>
      <c r="AQ45" s="447" t="e">
        <f t="shared" si="73"/>
        <v>#REF!</v>
      </c>
      <c r="AR45" s="447" t="e">
        <f t="shared" si="74"/>
        <v>#REF!</v>
      </c>
      <c r="AS45" s="18"/>
      <c r="AT45" s="2" t="e">
        <f t="shared" ca="1" si="75"/>
        <v>#REF!</v>
      </c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</row>
    <row r="46" spans="1:62" x14ac:dyDescent="0.2">
      <c r="A46" s="92" t="s">
        <v>198</v>
      </c>
      <c r="B46" s="433" t="s">
        <v>401</v>
      </c>
      <c r="C46" s="584">
        <v>909.6062992125984</v>
      </c>
      <c r="D46" s="16"/>
      <c r="E46" s="17">
        <v>29.7</v>
      </c>
      <c r="F46" s="17">
        <v>0</v>
      </c>
      <c r="G46" s="393">
        <v>2008.3174015748029</v>
      </c>
      <c r="H46" s="271">
        <v>77.010000000000005</v>
      </c>
      <c r="I46" s="17">
        <v>0</v>
      </c>
      <c r="J46" s="271">
        <v>62.86</v>
      </c>
      <c r="K46" s="17">
        <v>40</v>
      </c>
      <c r="L46" s="271">
        <v>91.93</v>
      </c>
      <c r="M46" s="271">
        <v>964.23</v>
      </c>
      <c r="N46" s="271">
        <v>31.48</v>
      </c>
      <c r="O46" s="58"/>
      <c r="P46" s="441">
        <f t="shared" si="76"/>
        <v>2115.0274015748032</v>
      </c>
      <c r="Q46" s="441">
        <f t="shared" si="77"/>
        <v>3228.517401574803</v>
      </c>
      <c r="R46" s="533"/>
      <c r="S46" s="441" t="e">
        <f t="shared" si="78"/>
        <v>#REF!</v>
      </c>
      <c r="T46" s="441" t="e">
        <f t="shared" si="79"/>
        <v>#REF!</v>
      </c>
      <c r="U46" s="533"/>
      <c r="V46" s="441" t="e">
        <f>MAX(V$41:V$42)+IF($B$2="mil",1,0.0254)*DDR2Specs!$B$3</f>
        <v>#REF!</v>
      </c>
      <c r="W46" s="441" t="e">
        <f>MIN(V$41:V$42)+IF($B$2="mil",1,0.0254)*DDR2Specs!$C$3</f>
        <v>#REF!</v>
      </c>
      <c r="X46" s="18"/>
      <c r="Y46" s="534" t="e">
        <f t="shared" si="80"/>
        <v>#REF!</v>
      </c>
      <c r="Z46" s="447" t="e">
        <f t="shared" si="81"/>
        <v>#REF!</v>
      </c>
      <c r="AA46" s="18"/>
      <c r="AB46" s="441" t="e">
        <f>MAX(AB$41:AB$42)+IF($B$2="mil",1,0.0254)*DDR2Specs!$E$3</f>
        <v>#REF!</v>
      </c>
      <c r="AC46" s="441" t="e">
        <f>MIN(AB$41:AB$42)+IF($B$2="mil",1,0.0254)*DDR2Specs!$F$3</f>
        <v>#REF!</v>
      </c>
      <c r="AD46" s="18"/>
      <c r="AE46" s="534" t="e">
        <f t="shared" si="63"/>
        <v>#REF!</v>
      </c>
      <c r="AF46" s="447" t="e">
        <f t="shared" si="64"/>
        <v>#REF!</v>
      </c>
      <c r="AG46" s="447" t="e">
        <f t="shared" si="65"/>
        <v>#REF!</v>
      </c>
      <c r="AH46" s="447" t="e">
        <f t="shared" si="66"/>
        <v>#REF!</v>
      </c>
      <c r="AI46" s="447" t="e">
        <f t="shared" si="67"/>
        <v>#REF!</v>
      </c>
      <c r="AJ46" s="447" t="e">
        <f t="shared" ca="1" si="68"/>
        <v>#NAME?</v>
      </c>
      <c r="AK46" s="447" t="e">
        <f t="shared" si="82"/>
        <v>#REF!</v>
      </c>
      <c r="AL46" s="447" t="e">
        <f t="shared" si="83"/>
        <v>#REF!</v>
      </c>
      <c r="AM46" s="447" t="e">
        <f t="shared" ca="1" si="69"/>
        <v>#NAME?</v>
      </c>
      <c r="AN46" s="447" t="e">
        <f t="shared" ca="1" si="70"/>
        <v>#NAME?</v>
      </c>
      <c r="AO46" s="447" t="e">
        <f t="shared" si="71"/>
        <v>#REF!</v>
      </c>
      <c r="AP46" s="447" t="e">
        <f t="shared" si="72"/>
        <v>#REF!</v>
      </c>
      <c r="AQ46" s="447" t="e">
        <f t="shared" si="73"/>
        <v>#REF!</v>
      </c>
      <c r="AR46" s="447" t="e">
        <f t="shared" si="74"/>
        <v>#REF!</v>
      </c>
      <c r="AS46" s="18"/>
      <c r="AT46" s="2" t="e">
        <f t="shared" ca="1" si="75"/>
        <v>#REF!</v>
      </c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</row>
    <row r="47" spans="1:62" x14ac:dyDescent="0.2">
      <c r="A47" s="92" t="s">
        <v>199</v>
      </c>
      <c r="B47" s="433" t="s">
        <v>398</v>
      </c>
      <c r="C47" s="584">
        <v>749.6062992125984</v>
      </c>
      <c r="D47" s="16"/>
      <c r="E47" s="17">
        <v>29.7</v>
      </c>
      <c r="F47" s="17">
        <v>0</v>
      </c>
      <c r="G47" s="393">
        <v>1999.0652755905508</v>
      </c>
      <c r="H47" s="271">
        <v>78.27</v>
      </c>
      <c r="I47" s="17">
        <v>0</v>
      </c>
      <c r="J47" s="271">
        <v>52.5</v>
      </c>
      <c r="K47" s="17">
        <v>40</v>
      </c>
      <c r="L47" s="271">
        <v>49.57</v>
      </c>
      <c r="M47" s="271">
        <v>975.95</v>
      </c>
      <c r="N47" s="271">
        <v>76.08</v>
      </c>
      <c r="O47" s="58"/>
      <c r="P47" s="441">
        <f t="shared" si="76"/>
        <v>2107.035275590551</v>
      </c>
      <c r="Q47" s="441">
        <f t="shared" si="77"/>
        <v>3222.8652755905514</v>
      </c>
      <c r="R47" s="533"/>
      <c r="S47" s="441" t="e">
        <f t="shared" si="78"/>
        <v>#REF!</v>
      </c>
      <c r="T47" s="441" t="e">
        <f t="shared" si="79"/>
        <v>#REF!</v>
      </c>
      <c r="U47" s="533"/>
      <c r="V47" s="441" t="e">
        <f>MAX(V$41:V$42)+IF($B$2="mil",1,0.0254)*DDR2Specs!$B$3</f>
        <v>#REF!</v>
      </c>
      <c r="W47" s="441" t="e">
        <f>MIN(V$41:V$42)+IF($B$2="mil",1,0.0254)*DDR2Specs!$C$3</f>
        <v>#REF!</v>
      </c>
      <c r="X47" s="18"/>
      <c r="Y47" s="534" t="e">
        <f t="shared" si="80"/>
        <v>#REF!</v>
      </c>
      <c r="Z47" s="447" t="e">
        <f t="shared" si="81"/>
        <v>#REF!</v>
      </c>
      <c r="AA47" s="18"/>
      <c r="AB47" s="441" t="e">
        <f>MAX(AB$41:AB$42)+IF($B$2="mil",1,0.0254)*DDR2Specs!$E$3</f>
        <v>#REF!</v>
      </c>
      <c r="AC47" s="441" t="e">
        <f>MIN(AB$41:AB$42)+IF($B$2="mil",1,0.0254)*DDR2Specs!$F$3</f>
        <v>#REF!</v>
      </c>
      <c r="AD47" s="18"/>
      <c r="AE47" s="534" t="e">
        <f t="shared" si="63"/>
        <v>#REF!</v>
      </c>
      <c r="AF47" s="447" t="e">
        <f t="shared" si="64"/>
        <v>#REF!</v>
      </c>
      <c r="AG47" s="447" t="e">
        <f t="shared" si="65"/>
        <v>#REF!</v>
      </c>
      <c r="AH47" s="447" t="e">
        <f t="shared" si="66"/>
        <v>#REF!</v>
      </c>
      <c r="AI47" s="447" t="e">
        <f t="shared" si="67"/>
        <v>#REF!</v>
      </c>
      <c r="AJ47" s="447" t="e">
        <f t="shared" ca="1" si="68"/>
        <v>#NAME?</v>
      </c>
      <c r="AK47" s="447" t="e">
        <f t="shared" si="82"/>
        <v>#REF!</v>
      </c>
      <c r="AL47" s="447" t="e">
        <f t="shared" si="83"/>
        <v>#REF!</v>
      </c>
      <c r="AM47" s="447" t="e">
        <f t="shared" ca="1" si="69"/>
        <v>#NAME?</v>
      </c>
      <c r="AN47" s="447" t="e">
        <f t="shared" ca="1" si="70"/>
        <v>#NAME?</v>
      </c>
      <c r="AO47" s="447" t="e">
        <f t="shared" si="71"/>
        <v>#REF!</v>
      </c>
      <c r="AP47" s="447" t="e">
        <f t="shared" si="72"/>
        <v>#REF!</v>
      </c>
      <c r="AQ47" s="447" t="e">
        <f t="shared" si="73"/>
        <v>#REF!</v>
      </c>
      <c r="AR47" s="447" t="e">
        <f t="shared" si="74"/>
        <v>#REF!</v>
      </c>
      <c r="AS47" s="18"/>
      <c r="AT47" s="2" t="e">
        <f t="shared" ca="1" si="75"/>
        <v>#REF!</v>
      </c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</row>
    <row r="48" spans="1:62" x14ac:dyDescent="0.2">
      <c r="A48" s="92" t="s">
        <v>200</v>
      </c>
      <c r="B48" s="434" t="s">
        <v>524</v>
      </c>
      <c r="C48" s="584">
        <v>808.70078740157487</v>
      </c>
      <c r="D48" s="16"/>
      <c r="E48" s="17">
        <v>29.7</v>
      </c>
      <c r="F48" s="17">
        <v>0</v>
      </c>
      <c r="G48" s="393">
        <v>1941.7374015748026</v>
      </c>
      <c r="H48" s="271">
        <v>73.59</v>
      </c>
      <c r="I48" s="17">
        <v>0</v>
      </c>
      <c r="J48" s="271">
        <v>54.57</v>
      </c>
      <c r="K48" s="17">
        <v>40</v>
      </c>
      <c r="L48" s="271">
        <v>98.95</v>
      </c>
      <c r="M48" s="271">
        <v>902.9</v>
      </c>
      <c r="N48" s="271">
        <v>89.11</v>
      </c>
      <c r="O48" s="58"/>
      <c r="P48" s="441">
        <f t="shared" si="76"/>
        <v>2045.0274015748025</v>
      </c>
      <c r="Q48" s="441">
        <f t="shared" si="77"/>
        <v>3156.9674015748024</v>
      </c>
      <c r="R48" s="533"/>
      <c r="S48" s="441" t="e">
        <f t="shared" si="78"/>
        <v>#REF!</v>
      </c>
      <c r="T48" s="441" t="e">
        <f t="shared" si="79"/>
        <v>#REF!</v>
      </c>
      <c r="U48" s="533"/>
      <c r="V48" s="441" t="e">
        <f>MAX(V$41:V$42)+IF($B$2="mil",1,0.0254)*DDR2Specs!$B$3</f>
        <v>#REF!</v>
      </c>
      <c r="W48" s="441" t="e">
        <f>MIN(V$41:V$42)+IF($B$2="mil",1,0.0254)*DDR2Specs!$C$3</f>
        <v>#REF!</v>
      </c>
      <c r="X48" s="18"/>
      <c r="Y48" s="534" t="e">
        <f t="shared" si="80"/>
        <v>#REF!</v>
      </c>
      <c r="Z48" s="447" t="e">
        <f t="shared" si="81"/>
        <v>#REF!</v>
      </c>
      <c r="AA48" s="18"/>
      <c r="AB48" s="441" t="e">
        <f>MAX(AB$41:AB$42)+IF($B$2="mil",1,0.0254)*DDR2Specs!$E$3</f>
        <v>#REF!</v>
      </c>
      <c r="AC48" s="441" t="e">
        <f>MIN(AB$41:AB$42)+IF($B$2="mil",1,0.0254)*DDR2Specs!$F$3</f>
        <v>#REF!</v>
      </c>
      <c r="AD48" s="18"/>
      <c r="AE48" s="534" t="e">
        <f t="shared" si="63"/>
        <v>#REF!</v>
      </c>
      <c r="AF48" s="447" t="e">
        <f t="shared" si="64"/>
        <v>#REF!</v>
      </c>
      <c r="AG48" s="447" t="e">
        <f t="shared" si="65"/>
        <v>#REF!</v>
      </c>
      <c r="AH48" s="447" t="e">
        <f t="shared" si="66"/>
        <v>#REF!</v>
      </c>
      <c r="AI48" s="447" t="e">
        <f t="shared" si="67"/>
        <v>#REF!</v>
      </c>
      <c r="AJ48" s="447" t="e">
        <f t="shared" ca="1" si="68"/>
        <v>#NAME?</v>
      </c>
      <c r="AK48" s="447" t="e">
        <f t="shared" si="82"/>
        <v>#REF!</v>
      </c>
      <c r="AL48" s="447" t="e">
        <f t="shared" si="83"/>
        <v>#REF!</v>
      </c>
      <c r="AM48" s="447" t="e">
        <f t="shared" ca="1" si="69"/>
        <v>#NAME?</v>
      </c>
      <c r="AN48" s="447" t="e">
        <f t="shared" ca="1" si="70"/>
        <v>#NAME?</v>
      </c>
      <c r="AO48" s="447" t="e">
        <f t="shared" si="71"/>
        <v>#REF!</v>
      </c>
      <c r="AP48" s="447" t="e">
        <f t="shared" si="72"/>
        <v>#REF!</v>
      </c>
      <c r="AQ48" s="447" t="e">
        <f t="shared" si="73"/>
        <v>#REF!</v>
      </c>
      <c r="AR48" s="447" t="e">
        <f t="shared" si="74"/>
        <v>#REF!</v>
      </c>
      <c r="AS48" s="18"/>
      <c r="AT48" s="2" t="e">
        <f t="shared" ca="1" si="75"/>
        <v>#REF!</v>
      </c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</row>
    <row r="49" spans="1:62" x14ac:dyDescent="0.2">
      <c r="A49" s="92" t="s">
        <v>201</v>
      </c>
      <c r="B49" s="433" t="s">
        <v>525</v>
      </c>
      <c r="C49" s="584">
        <v>901.61417322834643</v>
      </c>
      <c r="D49" s="16"/>
      <c r="E49" s="17">
        <v>29.7</v>
      </c>
      <c r="F49" s="17">
        <v>0</v>
      </c>
      <c r="G49" s="393">
        <v>2096.5460629921258</v>
      </c>
      <c r="H49" s="271">
        <v>69.489999999999995</v>
      </c>
      <c r="I49" s="17">
        <v>0</v>
      </c>
      <c r="J49" s="271">
        <v>53.74</v>
      </c>
      <c r="K49" s="17">
        <v>40</v>
      </c>
      <c r="L49" s="271">
        <v>101.31</v>
      </c>
      <c r="M49" s="271">
        <v>919.33</v>
      </c>
      <c r="N49" s="271">
        <v>76.06</v>
      </c>
      <c r="O49" s="58"/>
      <c r="P49" s="441">
        <f t="shared" si="76"/>
        <v>2195.7360629921254</v>
      </c>
      <c r="Q49" s="441">
        <f t="shared" si="77"/>
        <v>3316.6860629921252</v>
      </c>
      <c r="R49" s="533"/>
      <c r="S49" s="441" t="e">
        <f t="shared" si="78"/>
        <v>#REF!</v>
      </c>
      <c r="T49" s="441" t="e">
        <f t="shared" si="79"/>
        <v>#REF!</v>
      </c>
      <c r="U49" s="533"/>
      <c r="V49" s="441" t="e">
        <f>MAX(V$41:V$42)+IF($B$2="mil",1,0.0254)*DDR2Specs!$B$3</f>
        <v>#REF!</v>
      </c>
      <c r="W49" s="441" t="e">
        <f>MIN(V$41:V$42)+IF($B$2="mil",1,0.0254)*DDR2Specs!$C$3</f>
        <v>#REF!</v>
      </c>
      <c r="X49" s="18"/>
      <c r="Y49" s="534" t="e">
        <f t="shared" si="80"/>
        <v>#REF!</v>
      </c>
      <c r="Z49" s="447" t="e">
        <f t="shared" si="81"/>
        <v>#REF!</v>
      </c>
      <c r="AA49" s="18"/>
      <c r="AB49" s="441" t="e">
        <f>MAX(AB$41:AB$42)+IF($B$2="mil",1,0.0254)*DDR2Specs!$E$3</f>
        <v>#REF!</v>
      </c>
      <c r="AC49" s="441" t="e">
        <f>MIN(AB$41:AB$42)+IF($B$2="mil",1,0.0254)*DDR2Specs!$F$3</f>
        <v>#REF!</v>
      </c>
      <c r="AD49" s="18"/>
      <c r="AE49" s="534" t="e">
        <f t="shared" si="63"/>
        <v>#REF!</v>
      </c>
      <c r="AF49" s="447" t="e">
        <f t="shared" si="64"/>
        <v>#REF!</v>
      </c>
      <c r="AG49" s="447" t="e">
        <f t="shared" si="65"/>
        <v>#REF!</v>
      </c>
      <c r="AH49" s="447" t="e">
        <f t="shared" si="66"/>
        <v>#REF!</v>
      </c>
      <c r="AI49" s="447" t="e">
        <f t="shared" si="67"/>
        <v>#REF!</v>
      </c>
      <c r="AJ49" s="447" t="e">
        <f t="shared" ca="1" si="68"/>
        <v>#NAME?</v>
      </c>
      <c r="AK49" s="447" t="e">
        <f t="shared" si="82"/>
        <v>#REF!</v>
      </c>
      <c r="AL49" s="447" t="e">
        <f t="shared" si="83"/>
        <v>#REF!</v>
      </c>
      <c r="AM49" s="447" t="e">
        <f t="shared" ca="1" si="69"/>
        <v>#NAME?</v>
      </c>
      <c r="AN49" s="447" t="e">
        <f t="shared" ca="1" si="70"/>
        <v>#NAME?</v>
      </c>
      <c r="AO49" s="447" t="e">
        <f t="shared" si="71"/>
        <v>#REF!</v>
      </c>
      <c r="AP49" s="447" t="e">
        <f t="shared" si="72"/>
        <v>#REF!</v>
      </c>
      <c r="AQ49" s="447" t="e">
        <f t="shared" si="73"/>
        <v>#REF!</v>
      </c>
      <c r="AR49" s="447" t="e">
        <f t="shared" si="74"/>
        <v>#REF!</v>
      </c>
      <c r="AS49" s="18"/>
      <c r="AT49" s="2" t="e">
        <f t="shared" ca="1" si="75"/>
        <v>#REF!</v>
      </c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</row>
    <row r="50" spans="1:62" x14ac:dyDescent="0.2">
      <c r="A50" s="92" t="s">
        <v>202</v>
      </c>
      <c r="B50" s="433" t="s">
        <v>403</v>
      </c>
      <c r="C50" s="584">
        <v>894.17322834645665</v>
      </c>
      <c r="D50" s="16"/>
      <c r="E50" s="17">
        <v>29.7</v>
      </c>
      <c r="F50" s="17">
        <v>0</v>
      </c>
      <c r="G50" s="393">
        <v>1951.8191338582701</v>
      </c>
      <c r="H50" s="271">
        <v>174.65</v>
      </c>
      <c r="I50" s="17">
        <v>0</v>
      </c>
      <c r="J50" s="271">
        <v>112.17</v>
      </c>
      <c r="K50" s="17">
        <v>40</v>
      </c>
      <c r="L50" s="271">
        <v>60.58</v>
      </c>
      <c r="M50" s="271">
        <v>1006.56</v>
      </c>
      <c r="N50" s="271">
        <v>71.7</v>
      </c>
      <c r="O50" s="58"/>
      <c r="P50" s="441">
        <f t="shared" si="76"/>
        <v>2156.16913385827</v>
      </c>
      <c r="Q50" s="441">
        <f t="shared" si="77"/>
        <v>3272.5291338582697</v>
      </c>
      <c r="R50" s="533"/>
      <c r="S50" s="441" t="e">
        <f t="shared" si="78"/>
        <v>#REF!</v>
      </c>
      <c r="T50" s="441" t="e">
        <f t="shared" si="79"/>
        <v>#REF!</v>
      </c>
      <c r="U50" s="533"/>
      <c r="V50" s="441" t="e">
        <f>MAX(V$41:V$42)+IF($B$2="mil",1,0.0254)*DDR2Specs!$B$3</f>
        <v>#REF!</v>
      </c>
      <c r="W50" s="441" t="e">
        <f>MIN(V$41:V$42)+IF($B$2="mil",1,0.0254)*DDR2Specs!$C$3</f>
        <v>#REF!</v>
      </c>
      <c r="X50" s="18"/>
      <c r="Y50" s="534" t="e">
        <f t="shared" si="80"/>
        <v>#REF!</v>
      </c>
      <c r="Z50" s="447" t="e">
        <f t="shared" si="81"/>
        <v>#REF!</v>
      </c>
      <c r="AA50" s="18"/>
      <c r="AB50" s="441" t="e">
        <f>MAX(AB$41:AB$42)+IF($B$2="mil",1,0.0254)*DDR2Specs!$E$3</f>
        <v>#REF!</v>
      </c>
      <c r="AC50" s="441" t="e">
        <f>MIN(AB$41:AB$42)+IF($B$2="mil",1,0.0254)*DDR2Specs!$F$3</f>
        <v>#REF!</v>
      </c>
      <c r="AD50" s="18"/>
      <c r="AE50" s="534" t="e">
        <f t="shared" si="63"/>
        <v>#REF!</v>
      </c>
      <c r="AF50" s="447" t="e">
        <f t="shared" si="64"/>
        <v>#REF!</v>
      </c>
      <c r="AG50" s="447" t="e">
        <f t="shared" si="65"/>
        <v>#REF!</v>
      </c>
      <c r="AH50" s="447" t="e">
        <f t="shared" si="66"/>
        <v>#REF!</v>
      </c>
      <c r="AI50" s="447" t="e">
        <f t="shared" si="67"/>
        <v>#REF!</v>
      </c>
      <c r="AJ50" s="447" t="e">
        <f t="shared" ca="1" si="68"/>
        <v>#NAME?</v>
      </c>
      <c r="AK50" s="447" t="e">
        <f t="shared" si="82"/>
        <v>#REF!</v>
      </c>
      <c r="AL50" s="447" t="e">
        <f t="shared" si="83"/>
        <v>#REF!</v>
      </c>
      <c r="AM50" s="447" t="e">
        <f t="shared" ca="1" si="69"/>
        <v>#NAME?</v>
      </c>
      <c r="AN50" s="447" t="e">
        <f t="shared" ca="1" si="70"/>
        <v>#NAME?</v>
      </c>
      <c r="AO50" s="447" t="e">
        <f t="shared" si="71"/>
        <v>#REF!</v>
      </c>
      <c r="AP50" s="447" t="e">
        <f t="shared" si="72"/>
        <v>#REF!</v>
      </c>
      <c r="AQ50" s="447" t="e">
        <f t="shared" si="73"/>
        <v>#REF!</v>
      </c>
      <c r="AR50" s="447" t="e">
        <f t="shared" si="74"/>
        <v>#REF!</v>
      </c>
      <c r="AS50" s="18"/>
      <c r="AT50" s="2" t="e">
        <f t="shared" ca="1" si="75"/>
        <v>#REF!</v>
      </c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</row>
    <row r="51" spans="1:62" x14ac:dyDescent="0.2">
      <c r="A51" s="92" t="s">
        <v>203</v>
      </c>
      <c r="B51" s="437" t="s">
        <v>556</v>
      </c>
      <c r="C51" s="584">
        <v>728.70078740157487</v>
      </c>
      <c r="D51" s="16"/>
      <c r="E51" s="17">
        <v>29.7</v>
      </c>
      <c r="F51" s="17">
        <v>0</v>
      </c>
      <c r="G51" s="393">
        <v>2031.09</v>
      </c>
      <c r="H51" s="271">
        <v>73.75</v>
      </c>
      <c r="I51" s="17">
        <v>0</v>
      </c>
      <c r="J51" s="271">
        <v>50.57</v>
      </c>
      <c r="K51" s="17">
        <v>40</v>
      </c>
      <c r="L51" s="271">
        <v>75.63</v>
      </c>
      <c r="M51" s="271">
        <v>987.53</v>
      </c>
      <c r="N51" s="271">
        <v>32</v>
      </c>
      <c r="O51" s="58"/>
      <c r="P51" s="441">
        <f t="shared" si="76"/>
        <v>2134.54</v>
      </c>
      <c r="Q51" s="441">
        <f t="shared" si="77"/>
        <v>3246.5200000000004</v>
      </c>
      <c r="R51" s="533"/>
      <c r="S51" s="441" t="e">
        <f t="shared" si="78"/>
        <v>#REF!</v>
      </c>
      <c r="T51" s="441" t="e">
        <f t="shared" si="79"/>
        <v>#REF!</v>
      </c>
      <c r="U51" s="533"/>
      <c r="V51" s="441" t="e">
        <f>MAX(V$41:V$42)+IF($B$2="mil",1,0.0254)*DDR2Specs!$B$3</f>
        <v>#REF!</v>
      </c>
      <c r="W51" s="441" t="e">
        <f>MIN(V$41:V$42)+IF($B$2="mil",1,0.0254)*DDR2Specs!$C$3</f>
        <v>#REF!</v>
      </c>
      <c r="X51" s="18"/>
      <c r="Y51" s="534" t="e">
        <f t="shared" si="80"/>
        <v>#REF!</v>
      </c>
      <c r="Z51" s="447" t="e">
        <f t="shared" si="81"/>
        <v>#REF!</v>
      </c>
      <c r="AA51" s="18"/>
      <c r="AB51" s="441" t="e">
        <f>MAX(AB$41:AB$42)+IF($B$2="mil",1,0.0254)*DDR2Specs!$E$3</f>
        <v>#REF!</v>
      </c>
      <c r="AC51" s="441" t="e">
        <f>MIN(AB$41:AB$42)+IF($B$2="mil",1,0.0254)*DDR2Specs!$F$3</f>
        <v>#REF!</v>
      </c>
      <c r="AD51" s="18"/>
      <c r="AE51" s="534" t="e">
        <f t="shared" si="63"/>
        <v>#REF!</v>
      </c>
      <c r="AF51" s="447" t="e">
        <f t="shared" si="64"/>
        <v>#REF!</v>
      </c>
      <c r="AG51" s="447" t="e">
        <f t="shared" si="65"/>
        <v>#REF!</v>
      </c>
      <c r="AH51" s="447" t="e">
        <f t="shared" si="66"/>
        <v>#REF!</v>
      </c>
      <c r="AI51" s="447" t="e">
        <f t="shared" si="67"/>
        <v>#REF!</v>
      </c>
      <c r="AJ51" s="447" t="e">
        <f t="shared" ca="1" si="68"/>
        <v>#NAME?</v>
      </c>
      <c r="AK51" s="447" t="e">
        <f t="shared" si="82"/>
        <v>#REF!</v>
      </c>
      <c r="AL51" s="447" t="e">
        <f t="shared" si="83"/>
        <v>#REF!</v>
      </c>
      <c r="AM51" s="447" t="e">
        <f t="shared" ca="1" si="69"/>
        <v>#NAME?</v>
      </c>
      <c r="AN51" s="447" t="e">
        <f t="shared" ca="1" si="70"/>
        <v>#NAME?</v>
      </c>
      <c r="AO51" s="447" t="e">
        <f t="shared" si="71"/>
        <v>#REF!</v>
      </c>
      <c r="AP51" s="447" t="e">
        <f t="shared" si="72"/>
        <v>#REF!</v>
      </c>
      <c r="AQ51" s="447" t="e">
        <f t="shared" si="73"/>
        <v>#REF!</v>
      </c>
      <c r="AR51" s="447" t="e">
        <f t="shared" si="74"/>
        <v>#REF!</v>
      </c>
      <c r="AS51" s="18"/>
      <c r="AT51" s="2" t="e">
        <f t="shared" ca="1" si="75"/>
        <v>#REF!</v>
      </c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</row>
    <row r="52" spans="1:62" x14ac:dyDescent="0.2">
      <c r="A52" s="94" t="s">
        <v>249</v>
      </c>
      <c r="B52" s="438"/>
      <c r="C52" s="585"/>
      <c r="D52" s="51"/>
      <c r="E52" s="68"/>
      <c r="F52" s="68"/>
      <c r="G52" s="394"/>
      <c r="H52" s="265"/>
      <c r="I52" s="265"/>
      <c r="J52" s="265"/>
      <c r="K52" s="265"/>
      <c r="L52" s="265"/>
      <c r="M52" s="265"/>
      <c r="N52" s="265"/>
      <c r="O52" s="8"/>
      <c r="P52" s="68"/>
      <c r="Q52" s="68"/>
      <c r="R52" s="68"/>
      <c r="S52" s="539"/>
      <c r="T52" s="539"/>
      <c r="U52" s="539"/>
      <c r="V52" s="539"/>
      <c r="W52" s="540"/>
      <c r="X52" s="540"/>
      <c r="Y52" s="541"/>
      <c r="Z52" s="15"/>
      <c r="AA52" s="540"/>
      <c r="AB52" s="539"/>
      <c r="AC52" s="540"/>
      <c r="AD52" s="540"/>
      <c r="AE52" s="541"/>
      <c r="AF52" s="15"/>
      <c r="AG52" s="15"/>
      <c r="AH52" s="15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69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</row>
    <row r="53" spans="1:62" x14ac:dyDescent="0.2">
      <c r="A53" s="103" t="str">
        <f>'DDR2 Strobes - 1x16'!$A$21</f>
        <v>SA_DQS4</v>
      </c>
      <c r="B53" s="112" t="str">
        <f>'DDR2 Strobes - 1x16'!$B$21</f>
        <v>AB19</v>
      </c>
      <c r="C53" s="586"/>
      <c r="D53" s="44"/>
      <c r="E53" s="67"/>
      <c r="F53" s="67"/>
      <c r="G53" s="395"/>
      <c r="H53" s="266"/>
      <c r="I53" s="266"/>
      <c r="J53" s="266"/>
      <c r="K53" s="266"/>
      <c r="L53" s="266"/>
      <c r="M53" s="266"/>
      <c r="N53" s="266"/>
      <c r="O53" s="67"/>
      <c r="P53" s="67"/>
      <c r="Q53" s="67"/>
      <c r="R53" s="67"/>
      <c r="S53" s="48"/>
      <c r="T53" s="48"/>
      <c r="U53" s="48"/>
      <c r="V53" s="48" t="e">
        <f>'DDR2 Strobes - 1x16'!$S$21</f>
        <v>#REF!</v>
      </c>
      <c r="W53" s="48"/>
      <c r="X53" s="48"/>
      <c r="Y53" s="48"/>
      <c r="Z53" s="542"/>
      <c r="AA53" s="48"/>
      <c r="AB53" s="48" t="e">
        <f>'DDR2 Strobes - 1x16'!$T$21</f>
        <v>#REF!</v>
      </c>
      <c r="AC53" s="48"/>
      <c r="AD53" s="48"/>
      <c r="AE53" s="48"/>
      <c r="AF53" s="542"/>
      <c r="AG53" s="542"/>
      <c r="AH53" s="542"/>
      <c r="AI53" s="542"/>
      <c r="AJ53" s="542"/>
      <c r="AK53" s="542"/>
      <c r="AL53" s="542"/>
      <c r="AM53" s="542"/>
      <c r="AN53" s="542"/>
      <c r="AO53" s="542"/>
      <c r="AP53" s="542"/>
      <c r="AQ53" s="542"/>
      <c r="AR53" s="542"/>
      <c r="AS53" s="48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</row>
    <row r="54" spans="1:62" x14ac:dyDescent="0.2">
      <c r="A54" s="103" t="str">
        <f>'DDR2 Strobes - 1x16'!$A$22</f>
        <v>SA_DQS4#</v>
      </c>
      <c r="B54" s="439" t="str">
        <f>'DDR2 Strobes - 1x16'!$B$22</f>
        <v>AB18</v>
      </c>
      <c r="C54" s="586"/>
      <c r="D54" s="44"/>
      <c r="E54" s="67"/>
      <c r="F54" s="67"/>
      <c r="G54" s="395"/>
      <c r="H54" s="266"/>
      <c r="I54" s="266"/>
      <c r="J54" s="266"/>
      <c r="K54" s="266"/>
      <c r="L54" s="266"/>
      <c r="M54" s="266"/>
      <c r="N54" s="266"/>
      <c r="O54" s="67"/>
      <c r="P54" s="67"/>
      <c r="Q54" s="536"/>
      <c r="R54" s="536"/>
      <c r="S54" s="537"/>
      <c r="T54" s="537"/>
      <c r="U54" s="48"/>
      <c r="V54" s="48" t="e">
        <f>'DDR2 Strobes - 1x16'!$S$22</f>
        <v>#REF!</v>
      </c>
      <c r="W54" s="48"/>
      <c r="X54" s="48"/>
      <c r="Y54" s="48"/>
      <c r="Z54" s="542"/>
      <c r="AA54" s="48"/>
      <c r="AB54" s="48" t="e">
        <f>'DDR2 Strobes - 1x16'!$T$22</f>
        <v>#REF!</v>
      </c>
      <c r="AC54" s="48"/>
      <c r="AD54" s="48"/>
      <c r="AE54" s="48"/>
      <c r="AF54" s="542"/>
      <c r="AG54" s="542"/>
      <c r="AH54" s="542"/>
      <c r="AI54" s="543"/>
      <c r="AJ54" s="543"/>
      <c r="AK54" s="543"/>
      <c r="AL54" s="543"/>
      <c r="AM54" s="543"/>
      <c r="AN54" s="543"/>
      <c r="AO54" s="543"/>
      <c r="AP54" s="543"/>
      <c r="AQ54" s="543"/>
      <c r="AR54" s="543"/>
      <c r="AS54" s="48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</row>
    <row r="55" spans="1:62" x14ac:dyDescent="0.2">
      <c r="A55" s="92" t="s">
        <v>204</v>
      </c>
      <c r="B55" s="433" t="s">
        <v>526</v>
      </c>
      <c r="C55" s="584">
        <v>655.8661417322835</v>
      </c>
      <c r="D55" s="16"/>
      <c r="E55" s="17">
        <v>29.7</v>
      </c>
      <c r="F55" s="17">
        <v>0</v>
      </c>
      <c r="G55" s="393">
        <v>1887.4051181102359</v>
      </c>
      <c r="H55" s="271">
        <v>75.260000000000005</v>
      </c>
      <c r="I55" s="17">
        <v>0</v>
      </c>
      <c r="J55" s="271">
        <v>58.71</v>
      </c>
      <c r="K55" s="17">
        <v>40</v>
      </c>
      <c r="L55" s="271">
        <v>105.97</v>
      </c>
      <c r="M55" s="271">
        <v>1075.69</v>
      </c>
      <c r="N55" s="271">
        <v>78</v>
      </c>
      <c r="O55" s="58"/>
      <c r="P55" s="441">
        <f xml:space="preserve"> E55+F55+G55+H55</f>
        <v>1992.3651181102359</v>
      </c>
      <c r="Q55" s="441">
        <f t="shared" ref="Q55:Q63" si="84">SUM(E55:G55,I55:N55)</f>
        <v>3275.4751181102361</v>
      </c>
      <c r="R55" s="533"/>
      <c r="S55" s="441" t="e">
        <f>P55+IF($B$2="mil",1,0.0254)*C55</f>
        <v>#REF!</v>
      </c>
      <c r="T55" s="441" t="e">
        <f>Q55+IF($B$2="mil",1,0.0254)*C55</f>
        <v>#REF!</v>
      </c>
      <c r="U55" s="533"/>
      <c r="V55" s="441" t="e">
        <f>MAX(V$53:V$54)+IF($B$2="mil",1,0.0254)*DDR2Specs!$B$3</f>
        <v>#REF!</v>
      </c>
      <c r="W55" s="441" t="e">
        <f>MIN(V$53:V$54)+IF($B$2="mil",1,0.0254)*DDR2Specs!$C$3</f>
        <v>#REF!</v>
      </c>
      <c r="X55" s="18"/>
      <c r="Y55" s="534" t="e">
        <f>IF($S55&lt;$V55,$V55-$S55,"Pass")</f>
        <v>#REF!</v>
      </c>
      <c r="Z55" s="447" t="e">
        <f>IF($S55&gt;$W55,$S55-$W55,"Pass")</f>
        <v>#REF!</v>
      </c>
      <c r="AA55" s="18"/>
      <c r="AB55" s="441" t="e">
        <f>MAX(AB$53:AB$54)+IF($B$2="mil",1,0.0254)*DDR2Specs!$E$3</f>
        <v>#REF!</v>
      </c>
      <c r="AC55" s="441" t="e">
        <f>MIN(AB$53:AB$54)+IF($B$2="mil",1,0.0254)*DDR2Specs!$F$3</f>
        <v>#REF!</v>
      </c>
      <c r="AD55" s="18"/>
      <c r="AE55" s="534" t="e">
        <f t="shared" ref="AE55:AE63" si="85">IF($T55&lt;$AB55,$AB55-$T55,"Pass")</f>
        <v>#REF!</v>
      </c>
      <c r="AF55" s="447" t="e">
        <f t="shared" ref="AF55:AF63" si="86">IF($T55&gt;$AC55,$T55-$AC55,"Pass")</f>
        <v>#REF!</v>
      </c>
      <c r="AG55" s="447" t="e">
        <f t="shared" ref="AG55:AG63" si="87">IF($E55&lt;=IF($B$2="mil",1,0.0254)*50,"Pass",IF($B$2="mil",1,0.0254)*50-$E55)</f>
        <v>#REF!</v>
      </c>
      <c r="AH55" s="447" t="e">
        <f t="shared" ref="AH55:AH63" si="88">IF($F55&lt;=IF($B$2="mil",1,0.0254)*500,"Pass",IF($B$2="mil",1,0.0254)*500-$F55)</f>
        <v>#REF!</v>
      </c>
      <c r="AI55" s="447" t="e">
        <f t="shared" ref="AI55:AI63" si="89">IF($H55&lt;=IF($B$2="mil",1,0.0254)*250,"Pass",IF($B$2="mil",1,0.0254)*250-$H55)</f>
        <v>#REF!</v>
      </c>
      <c r="AJ55" s="447" t="e">
        <f t="shared" ref="AJ55:AJ63" ca="1" si="90">CheckLength(IF($B$2="mil",1,0.0254)*1125, IF($B$2="mil",1,0.0254)*125-J55, 0, I55,J55,0)</f>
        <v>#NAME?</v>
      </c>
      <c r="AK55" s="447" t="e">
        <f>IF($J55&lt;=IF($B$2="mil",1,0.0254)*125,"Pass",IF($B$2="mil",1,0.0254)*125-$J55)</f>
        <v>#REF!</v>
      </c>
      <c r="AL55" s="447" t="e">
        <f>IF($L55&lt;=IF($B$2="mil",1,0.0254)*125,"Pass",IF($B$2="mil",1,0.0254)*125-$L55)</f>
        <v>#REF!</v>
      </c>
      <c r="AM55" s="447" t="e">
        <f t="shared" ref="AM55:AM63" ca="1" si="91">CheckLength(IF($B$2="mil",1,0.0254)*1525, IF($B$2="mil",1,0.0254)*125-L55, IF($B$2="mil",1,0.0254)*150-N55, M55,L55,N55)</f>
        <v>#NAME?</v>
      </c>
      <c r="AN55" s="447" t="e">
        <f t="shared" ref="AN55:AN63" ca="1" si="92">CheckLength2(IF($B$2="mil",1,0.0254)*1400,M55,N55,0)</f>
        <v>#NAME?</v>
      </c>
      <c r="AO55" s="447" t="e">
        <f t="shared" ref="AO55:AO63" si="93">IF(AND($P55&gt;=IF($B$2="mil",1,0.0254)*500, $P55&lt;=IF($B$2="mil",1,0.0254)*4000),"Pass",IF($B$2="mil",1,0.0254)*4000-$P55)</f>
        <v>#REF!</v>
      </c>
      <c r="AP55" s="447" t="e">
        <f t="shared" ref="AP55:AP63" si="94">IF(AND($S55&gt;=IF($B$2="mil",1,0.0254)*500, $S55&lt;=IF($B$2="mil",1,0.0254)*4500),"Pass",IF($B$2="mil",1,0.0254)*4500-$S55)</f>
        <v>#REF!</v>
      </c>
      <c r="AQ55" s="447" t="e">
        <f t="shared" ref="AQ55:AQ63" si="95">IF(AND($Q55&gt;=IF($B$2="mil",1,0.0254)*500, $Q55&lt;=IF($B$2="mil",1,0.0254)*5500),"Pass",IF($B$2="mil",1,0.0254)*5500-$Q55)</f>
        <v>#REF!</v>
      </c>
      <c r="AR55" s="447" t="e">
        <f t="shared" ref="AR55:AR63" si="96">IF(AND($T55&gt;=IF($B$2="mil",1,0.0254)*500, $T55&lt;=IF($B$2="mil",1,0.0254)*6000),"Pass",IF($B$2="mil",1,0.0254)*6000-$T55)</f>
        <v>#REF!</v>
      </c>
      <c r="AS55" s="18"/>
      <c r="AT55" s="2" t="e">
        <f t="shared" ref="AT55:AT63" ca="1" si="97">IF(AND(AG55="Pass",AP55="Pass",AI55="Pass",AH55="Pass",AO55="Pass",Y55="Pass",Z55="Pass",AN55="Pass",AM55="Pass",AL55="Pass",AK55="Pass",AJ55="Pass",AE55="Pass",AF55="Pass",AQ55="Pass",AR55="Pass"),"Pass","Fail")</f>
        <v>#REF!</v>
      </c>
      <c r="AU55" s="2" t="e">
        <f ca="1">IF(AND(AT55="Pass",AT56="Pass",AT57="Pass",AT58="Pass",AT59="Pass",AT60="Pass",AT61="Pass",AT62="Pass",AT63="Pass"),"Pass","Fail")</f>
        <v>#REF!</v>
      </c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</row>
    <row r="56" spans="1:62" x14ac:dyDescent="0.2">
      <c r="A56" s="92" t="s">
        <v>205</v>
      </c>
      <c r="B56" s="433" t="s">
        <v>405</v>
      </c>
      <c r="C56" s="584">
        <v>729.25196850393706</v>
      </c>
      <c r="D56" s="16"/>
      <c r="E56" s="17">
        <v>29.7</v>
      </c>
      <c r="F56" s="17">
        <v>0</v>
      </c>
      <c r="G56" s="393">
        <v>1863.4231496062989</v>
      </c>
      <c r="H56" s="271">
        <v>74.989999999999995</v>
      </c>
      <c r="I56" s="17">
        <v>0</v>
      </c>
      <c r="J56" s="271">
        <v>69.2</v>
      </c>
      <c r="K56" s="17">
        <v>40</v>
      </c>
      <c r="L56" s="271">
        <v>110.37</v>
      </c>
      <c r="M56" s="271">
        <v>1038.94</v>
      </c>
      <c r="N56" s="271">
        <v>100</v>
      </c>
      <c r="O56" s="58"/>
      <c r="P56" s="441">
        <f t="shared" ref="P56:P63" si="98" xml:space="preserve"> E56+F56+G56+H56</f>
        <v>1968.113149606299</v>
      </c>
      <c r="Q56" s="441">
        <f t="shared" si="84"/>
        <v>3251.633149606299</v>
      </c>
      <c r="R56" s="533"/>
      <c r="S56" s="441" t="e">
        <f t="shared" ref="S56:S63" si="99">P56+IF($B$2="mil",1,0.0254)*C56</f>
        <v>#REF!</v>
      </c>
      <c r="T56" s="441" t="e">
        <f t="shared" ref="T56:T63" si="100">Q56+IF($B$2="mil",1,0.0254)*C56</f>
        <v>#REF!</v>
      </c>
      <c r="U56" s="533"/>
      <c r="V56" s="441" t="e">
        <f>MAX(V$53:V$54)+IF($B$2="mil",1,0.0254)*DDR2Specs!$B$3</f>
        <v>#REF!</v>
      </c>
      <c r="W56" s="441" t="e">
        <f>MIN(V$53:V$54)+IF($B$2="mil",1,0.0254)*DDR2Specs!$C$3</f>
        <v>#REF!</v>
      </c>
      <c r="X56" s="18"/>
      <c r="Y56" s="534" t="e">
        <f t="shared" ref="Y56:Y63" si="101">IF($S56&lt;$V56,$V56-$S56,"Pass")</f>
        <v>#REF!</v>
      </c>
      <c r="Z56" s="447" t="e">
        <f t="shared" ref="Z56:Z63" si="102">IF($S56&gt;$W56,$S56-$W56,"Pass")</f>
        <v>#REF!</v>
      </c>
      <c r="AA56" s="18"/>
      <c r="AB56" s="441" t="e">
        <f>MAX(AB$53:AB$54)+IF($B$2="mil",1,0.0254)*DDR2Specs!$E$3</f>
        <v>#REF!</v>
      </c>
      <c r="AC56" s="441" t="e">
        <f>MIN(AB$53:AB$54)+IF($B$2="mil",1,0.0254)*DDR2Specs!$F$3</f>
        <v>#REF!</v>
      </c>
      <c r="AD56" s="18"/>
      <c r="AE56" s="534" t="e">
        <f t="shared" si="85"/>
        <v>#REF!</v>
      </c>
      <c r="AF56" s="447" t="e">
        <f t="shared" si="86"/>
        <v>#REF!</v>
      </c>
      <c r="AG56" s="447" t="e">
        <f t="shared" si="87"/>
        <v>#REF!</v>
      </c>
      <c r="AH56" s="447" t="e">
        <f t="shared" si="88"/>
        <v>#REF!</v>
      </c>
      <c r="AI56" s="447" t="e">
        <f t="shared" si="89"/>
        <v>#REF!</v>
      </c>
      <c r="AJ56" s="447" t="e">
        <f t="shared" ca="1" si="90"/>
        <v>#NAME?</v>
      </c>
      <c r="AK56" s="447" t="e">
        <f t="shared" ref="AK56:AK63" si="103">IF($J56&lt;=IF($B$2="mil",1,0.0254)*125,"Pass",IF($B$2="mil",1,0.0254)*125-$J56)</f>
        <v>#REF!</v>
      </c>
      <c r="AL56" s="447" t="e">
        <f t="shared" ref="AL56:AL63" si="104">IF($L56&lt;=IF($B$2="mil",1,0.0254)*125,"Pass",IF($B$2="mil",1,0.0254)*125-$L56)</f>
        <v>#REF!</v>
      </c>
      <c r="AM56" s="447" t="e">
        <f t="shared" ca="1" si="91"/>
        <v>#NAME?</v>
      </c>
      <c r="AN56" s="447" t="e">
        <f t="shared" ca="1" si="92"/>
        <v>#NAME?</v>
      </c>
      <c r="AO56" s="447" t="e">
        <f t="shared" si="93"/>
        <v>#REF!</v>
      </c>
      <c r="AP56" s="447" t="e">
        <f t="shared" si="94"/>
        <v>#REF!</v>
      </c>
      <c r="AQ56" s="447" t="e">
        <f t="shared" si="95"/>
        <v>#REF!</v>
      </c>
      <c r="AR56" s="447" t="e">
        <f t="shared" si="96"/>
        <v>#REF!</v>
      </c>
      <c r="AS56" s="18"/>
      <c r="AT56" s="2" t="e">
        <f t="shared" ca="1" si="97"/>
        <v>#REF!</v>
      </c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</row>
    <row r="57" spans="1:62" x14ac:dyDescent="0.2">
      <c r="A57" s="92" t="s">
        <v>206</v>
      </c>
      <c r="B57" s="433" t="s">
        <v>409</v>
      </c>
      <c r="C57" s="584">
        <v>732.12598425196848</v>
      </c>
      <c r="D57" s="16"/>
      <c r="E57" s="17">
        <v>29.7</v>
      </c>
      <c r="F57" s="17">
        <v>0</v>
      </c>
      <c r="G57" s="393">
        <v>1846.120236220472</v>
      </c>
      <c r="H57" s="271">
        <v>115.6</v>
      </c>
      <c r="I57" s="17">
        <v>0</v>
      </c>
      <c r="J57" s="271">
        <v>102</v>
      </c>
      <c r="K57" s="17">
        <v>40</v>
      </c>
      <c r="L57" s="271">
        <v>85.78</v>
      </c>
      <c r="M57" s="271">
        <v>1139.69</v>
      </c>
      <c r="N57" s="271">
        <v>32</v>
      </c>
      <c r="O57" s="58"/>
      <c r="P57" s="441">
        <f t="shared" si="98"/>
        <v>1991.4202362204719</v>
      </c>
      <c r="Q57" s="441">
        <f t="shared" si="84"/>
        <v>3275.2902362204723</v>
      </c>
      <c r="R57" s="533"/>
      <c r="S57" s="441" t="e">
        <f t="shared" si="99"/>
        <v>#REF!</v>
      </c>
      <c r="T57" s="441" t="e">
        <f t="shared" si="100"/>
        <v>#REF!</v>
      </c>
      <c r="U57" s="533"/>
      <c r="V57" s="441" t="e">
        <f>MAX(V$53:V$54)+IF($B$2="mil",1,0.0254)*DDR2Specs!$B$3</f>
        <v>#REF!</v>
      </c>
      <c r="W57" s="441" t="e">
        <f>MIN(V$53:V$54)+IF($B$2="mil",1,0.0254)*DDR2Specs!$C$3</f>
        <v>#REF!</v>
      </c>
      <c r="X57" s="18"/>
      <c r="Y57" s="534" t="e">
        <f t="shared" si="101"/>
        <v>#REF!</v>
      </c>
      <c r="Z57" s="447" t="e">
        <f t="shared" si="102"/>
        <v>#REF!</v>
      </c>
      <c r="AA57" s="18"/>
      <c r="AB57" s="441" t="e">
        <f>MAX(AB$53:AB$54)+IF($B$2="mil",1,0.0254)*DDR2Specs!$E$3</f>
        <v>#REF!</v>
      </c>
      <c r="AC57" s="441" t="e">
        <f>MIN(AB$53:AB$54)+IF($B$2="mil",1,0.0254)*DDR2Specs!$F$3</f>
        <v>#REF!</v>
      </c>
      <c r="AD57" s="18"/>
      <c r="AE57" s="534" t="e">
        <f t="shared" si="85"/>
        <v>#REF!</v>
      </c>
      <c r="AF57" s="447" t="e">
        <f t="shared" si="86"/>
        <v>#REF!</v>
      </c>
      <c r="AG57" s="447" t="e">
        <f t="shared" si="87"/>
        <v>#REF!</v>
      </c>
      <c r="AH57" s="447" t="e">
        <f t="shared" si="88"/>
        <v>#REF!</v>
      </c>
      <c r="AI57" s="447" t="e">
        <f t="shared" si="89"/>
        <v>#REF!</v>
      </c>
      <c r="AJ57" s="447" t="e">
        <f t="shared" ca="1" si="90"/>
        <v>#NAME?</v>
      </c>
      <c r="AK57" s="447" t="e">
        <f t="shared" si="103"/>
        <v>#REF!</v>
      </c>
      <c r="AL57" s="447" t="e">
        <f t="shared" si="104"/>
        <v>#REF!</v>
      </c>
      <c r="AM57" s="447" t="e">
        <f t="shared" ca="1" si="91"/>
        <v>#NAME?</v>
      </c>
      <c r="AN57" s="447" t="e">
        <f t="shared" ca="1" si="92"/>
        <v>#NAME?</v>
      </c>
      <c r="AO57" s="447" t="e">
        <f t="shared" si="93"/>
        <v>#REF!</v>
      </c>
      <c r="AP57" s="447" t="e">
        <f t="shared" si="94"/>
        <v>#REF!</v>
      </c>
      <c r="AQ57" s="447" t="e">
        <f t="shared" si="95"/>
        <v>#REF!</v>
      </c>
      <c r="AR57" s="447" t="e">
        <f t="shared" si="96"/>
        <v>#REF!</v>
      </c>
      <c r="AS57" s="18"/>
      <c r="AT57" s="2" t="e">
        <f t="shared" ca="1" si="97"/>
        <v>#REF!</v>
      </c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</row>
    <row r="58" spans="1:62" x14ac:dyDescent="0.2">
      <c r="A58" s="92" t="s">
        <v>207</v>
      </c>
      <c r="B58" s="433" t="s">
        <v>527</v>
      </c>
      <c r="C58" s="584">
        <v>731.0236220472442</v>
      </c>
      <c r="D58" s="16"/>
      <c r="E58" s="17">
        <v>29.7</v>
      </c>
      <c r="F58" s="17">
        <v>0</v>
      </c>
      <c r="G58" s="393">
        <v>1881.6388976377948</v>
      </c>
      <c r="H58" s="271">
        <v>65.790000000000006</v>
      </c>
      <c r="I58" s="17">
        <v>0</v>
      </c>
      <c r="J58" s="271">
        <v>49.57</v>
      </c>
      <c r="K58" s="17">
        <v>40</v>
      </c>
      <c r="L58" s="271">
        <v>49.37</v>
      </c>
      <c r="M58" s="271">
        <v>1177.1600000000001</v>
      </c>
      <c r="N58" s="271">
        <v>33</v>
      </c>
      <c r="O58" s="58"/>
      <c r="P58" s="441">
        <f t="shared" si="98"/>
        <v>1977.1288976377948</v>
      </c>
      <c r="Q58" s="441">
        <f t="shared" si="84"/>
        <v>3260.438897637795</v>
      </c>
      <c r="R58" s="533"/>
      <c r="S58" s="441" t="e">
        <f t="shared" si="99"/>
        <v>#REF!</v>
      </c>
      <c r="T58" s="441" t="e">
        <f t="shared" si="100"/>
        <v>#REF!</v>
      </c>
      <c r="U58" s="533"/>
      <c r="V58" s="441" t="e">
        <f>MAX(V$53:V$54)+IF($B$2="mil",1,0.0254)*DDR2Specs!$B$3</f>
        <v>#REF!</v>
      </c>
      <c r="W58" s="441" t="e">
        <f>MIN(V$53:V$54)+IF($B$2="mil",1,0.0254)*DDR2Specs!$C$3</f>
        <v>#REF!</v>
      </c>
      <c r="X58" s="18"/>
      <c r="Y58" s="534" t="e">
        <f t="shared" si="101"/>
        <v>#REF!</v>
      </c>
      <c r="Z58" s="447" t="e">
        <f t="shared" si="102"/>
        <v>#REF!</v>
      </c>
      <c r="AA58" s="18"/>
      <c r="AB58" s="441" t="e">
        <f>MAX(AB$53:AB$54)+IF($B$2="mil",1,0.0254)*DDR2Specs!$E$3</f>
        <v>#REF!</v>
      </c>
      <c r="AC58" s="441" t="e">
        <f>MIN(AB$53:AB$54)+IF($B$2="mil",1,0.0254)*DDR2Specs!$F$3</f>
        <v>#REF!</v>
      </c>
      <c r="AD58" s="18"/>
      <c r="AE58" s="534" t="e">
        <f t="shared" si="85"/>
        <v>#REF!</v>
      </c>
      <c r="AF58" s="447" t="e">
        <f t="shared" si="86"/>
        <v>#REF!</v>
      </c>
      <c r="AG58" s="447" t="e">
        <f t="shared" si="87"/>
        <v>#REF!</v>
      </c>
      <c r="AH58" s="447" t="e">
        <f t="shared" si="88"/>
        <v>#REF!</v>
      </c>
      <c r="AI58" s="447" t="e">
        <f t="shared" si="89"/>
        <v>#REF!</v>
      </c>
      <c r="AJ58" s="447" t="e">
        <f t="shared" ca="1" si="90"/>
        <v>#NAME?</v>
      </c>
      <c r="AK58" s="447" t="e">
        <f t="shared" si="103"/>
        <v>#REF!</v>
      </c>
      <c r="AL58" s="447" t="e">
        <f t="shared" si="104"/>
        <v>#REF!</v>
      </c>
      <c r="AM58" s="447" t="e">
        <f t="shared" ca="1" si="91"/>
        <v>#NAME?</v>
      </c>
      <c r="AN58" s="447" t="e">
        <f t="shared" ca="1" si="92"/>
        <v>#NAME?</v>
      </c>
      <c r="AO58" s="447" t="e">
        <f t="shared" si="93"/>
        <v>#REF!</v>
      </c>
      <c r="AP58" s="447" t="e">
        <f t="shared" si="94"/>
        <v>#REF!</v>
      </c>
      <c r="AQ58" s="447" t="e">
        <f t="shared" si="95"/>
        <v>#REF!</v>
      </c>
      <c r="AR58" s="447" t="e">
        <f t="shared" si="96"/>
        <v>#REF!</v>
      </c>
      <c r="AS58" s="18"/>
      <c r="AT58" s="2" t="e">
        <f t="shared" ca="1" si="97"/>
        <v>#REF!</v>
      </c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</row>
    <row r="59" spans="1:62" x14ac:dyDescent="0.2">
      <c r="A59" s="92" t="s">
        <v>208</v>
      </c>
      <c r="B59" s="433" t="s">
        <v>528</v>
      </c>
      <c r="C59" s="584">
        <v>672.48031496062993</v>
      </c>
      <c r="D59" s="16"/>
      <c r="E59" s="17">
        <v>29.7</v>
      </c>
      <c r="F59" s="17">
        <v>0</v>
      </c>
      <c r="G59" s="393">
        <v>1936.578188976378</v>
      </c>
      <c r="H59" s="271">
        <v>76.52</v>
      </c>
      <c r="I59" s="17">
        <v>0</v>
      </c>
      <c r="J59" s="271">
        <v>50.13</v>
      </c>
      <c r="K59" s="17">
        <v>40</v>
      </c>
      <c r="L59" s="271">
        <v>116.6</v>
      </c>
      <c r="M59" s="271">
        <v>1060.2</v>
      </c>
      <c r="N59" s="271">
        <v>96.09</v>
      </c>
      <c r="O59" s="58"/>
      <c r="P59" s="441">
        <f t="shared" si="98"/>
        <v>2042.798188976378</v>
      </c>
      <c r="Q59" s="441">
        <f t="shared" si="84"/>
        <v>3329.2981889763787</v>
      </c>
      <c r="R59" s="533"/>
      <c r="S59" s="441" t="e">
        <f t="shared" si="99"/>
        <v>#REF!</v>
      </c>
      <c r="T59" s="441" t="e">
        <f t="shared" si="100"/>
        <v>#REF!</v>
      </c>
      <c r="U59" s="533"/>
      <c r="V59" s="441" t="e">
        <f>MAX(V$53:V$54)+IF($B$2="mil",1,0.0254)*DDR2Specs!$B$3</f>
        <v>#REF!</v>
      </c>
      <c r="W59" s="441" t="e">
        <f>MIN(V$53:V$54)+IF($B$2="mil",1,0.0254)*DDR2Specs!$C$3</f>
        <v>#REF!</v>
      </c>
      <c r="X59" s="18"/>
      <c r="Y59" s="534" t="e">
        <f t="shared" si="101"/>
        <v>#REF!</v>
      </c>
      <c r="Z59" s="447" t="e">
        <f t="shared" si="102"/>
        <v>#REF!</v>
      </c>
      <c r="AA59" s="18"/>
      <c r="AB59" s="441" t="e">
        <f>MAX(AB$53:AB$54)+IF($B$2="mil",1,0.0254)*DDR2Specs!$E$3</f>
        <v>#REF!</v>
      </c>
      <c r="AC59" s="441" t="e">
        <f>MIN(AB$53:AB$54)+IF($B$2="mil",1,0.0254)*DDR2Specs!$F$3</f>
        <v>#REF!</v>
      </c>
      <c r="AD59" s="18"/>
      <c r="AE59" s="534" t="e">
        <f t="shared" si="85"/>
        <v>#REF!</v>
      </c>
      <c r="AF59" s="447" t="e">
        <f t="shared" si="86"/>
        <v>#REF!</v>
      </c>
      <c r="AG59" s="447" t="e">
        <f t="shared" si="87"/>
        <v>#REF!</v>
      </c>
      <c r="AH59" s="447" t="e">
        <f t="shared" si="88"/>
        <v>#REF!</v>
      </c>
      <c r="AI59" s="447" t="e">
        <f t="shared" si="89"/>
        <v>#REF!</v>
      </c>
      <c r="AJ59" s="447" t="e">
        <f t="shared" ca="1" si="90"/>
        <v>#NAME?</v>
      </c>
      <c r="AK59" s="447" t="e">
        <f t="shared" si="103"/>
        <v>#REF!</v>
      </c>
      <c r="AL59" s="447" t="e">
        <f t="shared" si="104"/>
        <v>#REF!</v>
      </c>
      <c r="AM59" s="447" t="e">
        <f t="shared" ca="1" si="91"/>
        <v>#NAME?</v>
      </c>
      <c r="AN59" s="447" t="e">
        <f t="shared" ca="1" si="92"/>
        <v>#NAME?</v>
      </c>
      <c r="AO59" s="447" t="e">
        <f t="shared" si="93"/>
        <v>#REF!</v>
      </c>
      <c r="AP59" s="447" t="e">
        <f t="shared" si="94"/>
        <v>#REF!</v>
      </c>
      <c r="AQ59" s="447" t="e">
        <f t="shared" si="95"/>
        <v>#REF!</v>
      </c>
      <c r="AR59" s="447" t="e">
        <f t="shared" si="96"/>
        <v>#REF!</v>
      </c>
      <c r="AS59" s="18"/>
      <c r="AT59" s="2" t="e">
        <f t="shared" ca="1" si="97"/>
        <v>#REF!</v>
      </c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</row>
    <row r="60" spans="1:62" x14ac:dyDescent="0.2">
      <c r="A60" s="92" t="s">
        <v>209</v>
      </c>
      <c r="B60" s="433" t="s">
        <v>404</v>
      </c>
      <c r="C60" s="584">
        <v>669.5275590551181</v>
      </c>
      <c r="D60" s="16"/>
      <c r="E60" s="17">
        <v>29.7</v>
      </c>
      <c r="F60" s="17">
        <v>0</v>
      </c>
      <c r="G60" s="393">
        <v>1998.5147244094489</v>
      </c>
      <c r="H60" s="271">
        <v>102.3</v>
      </c>
      <c r="I60" s="17">
        <v>0</v>
      </c>
      <c r="J60" s="271">
        <v>78.23</v>
      </c>
      <c r="K60" s="17">
        <v>40</v>
      </c>
      <c r="L60" s="271">
        <v>109.2</v>
      </c>
      <c r="M60" s="271">
        <v>1070.47</v>
      </c>
      <c r="N60" s="271">
        <v>88</v>
      </c>
      <c r="O60" s="58"/>
      <c r="P60" s="441">
        <f t="shared" si="98"/>
        <v>2130.5147244094492</v>
      </c>
      <c r="Q60" s="441">
        <f t="shared" si="84"/>
        <v>3414.1147244094491</v>
      </c>
      <c r="R60" s="533"/>
      <c r="S60" s="441" t="e">
        <f t="shared" si="99"/>
        <v>#REF!</v>
      </c>
      <c r="T60" s="441" t="e">
        <f t="shared" si="100"/>
        <v>#REF!</v>
      </c>
      <c r="U60" s="533"/>
      <c r="V60" s="441" t="e">
        <f>MAX(V$53:V$54)+IF($B$2="mil",1,0.0254)*DDR2Specs!$B$3</f>
        <v>#REF!</v>
      </c>
      <c r="W60" s="441" t="e">
        <f>MIN(V$53:V$54)+IF($B$2="mil",1,0.0254)*DDR2Specs!$C$3</f>
        <v>#REF!</v>
      </c>
      <c r="X60" s="18"/>
      <c r="Y60" s="534" t="e">
        <f t="shared" si="101"/>
        <v>#REF!</v>
      </c>
      <c r="Z60" s="447" t="e">
        <f t="shared" si="102"/>
        <v>#REF!</v>
      </c>
      <c r="AA60" s="18"/>
      <c r="AB60" s="441" t="e">
        <f>MAX(AB$53:AB$54)+IF($B$2="mil",1,0.0254)*DDR2Specs!$E$3</f>
        <v>#REF!</v>
      </c>
      <c r="AC60" s="441" t="e">
        <f>MIN(AB$53:AB$54)+IF($B$2="mil",1,0.0254)*DDR2Specs!$F$3</f>
        <v>#REF!</v>
      </c>
      <c r="AD60" s="18"/>
      <c r="AE60" s="534" t="e">
        <f t="shared" si="85"/>
        <v>#REF!</v>
      </c>
      <c r="AF60" s="447" t="e">
        <f t="shared" si="86"/>
        <v>#REF!</v>
      </c>
      <c r="AG60" s="447" t="e">
        <f t="shared" si="87"/>
        <v>#REF!</v>
      </c>
      <c r="AH60" s="447" t="e">
        <f t="shared" si="88"/>
        <v>#REF!</v>
      </c>
      <c r="AI60" s="447" t="e">
        <f t="shared" si="89"/>
        <v>#REF!</v>
      </c>
      <c r="AJ60" s="447" t="e">
        <f t="shared" ca="1" si="90"/>
        <v>#NAME?</v>
      </c>
      <c r="AK60" s="447" t="e">
        <f t="shared" si="103"/>
        <v>#REF!</v>
      </c>
      <c r="AL60" s="447" t="e">
        <f t="shared" si="104"/>
        <v>#REF!</v>
      </c>
      <c r="AM60" s="447" t="e">
        <f t="shared" ca="1" si="91"/>
        <v>#NAME?</v>
      </c>
      <c r="AN60" s="447" t="e">
        <f t="shared" ca="1" si="92"/>
        <v>#NAME?</v>
      </c>
      <c r="AO60" s="447" t="e">
        <f t="shared" si="93"/>
        <v>#REF!</v>
      </c>
      <c r="AP60" s="447" t="e">
        <f t="shared" si="94"/>
        <v>#REF!</v>
      </c>
      <c r="AQ60" s="447" t="e">
        <f t="shared" si="95"/>
        <v>#REF!</v>
      </c>
      <c r="AR60" s="447" t="e">
        <f t="shared" si="96"/>
        <v>#REF!</v>
      </c>
      <c r="AS60" s="18"/>
      <c r="AT60" s="2" t="e">
        <f t="shared" ca="1" si="97"/>
        <v>#REF!</v>
      </c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</row>
    <row r="61" spans="1:62" x14ac:dyDescent="0.2">
      <c r="A61" s="92" t="s">
        <v>210</v>
      </c>
      <c r="B61" s="433" t="s">
        <v>529</v>
      </c>
      <c r="C61" s="584">
        <v>639.96062992125985</v>
      </c>
      <c r="D61" s="16"/>
      <c r="E61" s="17">
        <v>29.7</v>
      </c>
      <c r="F61" s="17">
        <v>0</v>
      </c>
      <c r="G61" s="393">
        <v>2017.5942519685038</v>
      </c>
      <c r="H61" s="271">
        <v>67</v>
      </c>
      <c r="I61" s="17">
        <v>0</v>
      </c>
      <c r="J61" s="271">
        <v>78.97</v>
      </c>
      <c r="K61" s="17">
        <v>40</v>
      </c>
      <c r="L61" s="271">
        <v>113.34</v>
      </c>
      <c r="M61" s="271">
        <v>1024.81</v>
      </c>
      <c r="N61" s="271">
        <v>96.09</v>
      </c>
      <c r="O61" s="58"/>
      <c r="P61" s="441">
        <f t="shared" si="98"/>
        <v>2114.2942519685039</v>
      </c>
      <c r="Q61" s="441">
        <f t="shared" si="84"/>
        <v>3400.5042519685039</v>
      </c>
      <c r="R61" s="533"/>
      <c r="S61" s="441" t="e">
        <f t="shared" si="99"/>
        <v>#REF!</v>
      </c>
      <c r="T61" s="441" t="e">
        <f t="shared" si="100"/>
        <v>#REF!</v>
      </c>
      <c r="U61" s="533"/>
      <c r="V61" s="441" t="e">
        <f>MAX(V$53:V$54)+IF($B$2="mil",1,0.0254)*DDR2Specs!$B$3</f>
        <v>#REF!</v>
      </c>
      <c r="W61" s="441" t="e">
        <f>MIN(V$53:V$54)+IF($B$2="mil",1,0.0254)*DDR2Specs!$C$3</f>
        <v>#REF!</v>
      </c>
      <c r="X61" s="18"/>
      <c r="Y61" s="534" t="e">
        <f t="shared" si="101"/>
        <v>#REF!</v>
      </c>
      <c r="Z61" s="447" t="e">
        <f t="shared" si="102"/>
        <v>#REF!</v>
      </c>
      <c r="AA61" s="18"/>
      <c r="AB61" s="441" t="e">
        <f>MAX(AB$53:AB$54)+IF($B$2="mil",1,0.0254)*DDR2Specs!$E$3</f>
        <v>#REF!</v>
      </c>
      <c r="AC61" s="441" t="e">
        <f>MIN(AB$53:AB$54)+IF($B$2="mil",1,0.0254)*DDR2Specs!$F$3</f>
        <v>#REF!</v>
      </c>
      <c r="AD61" s="18"/>
      <c r="AE61" s="534" t="e">
        <f t="shared" si="85"/>
        <v>#REF!</v>
      </c>
      <c r="AF61" s="447" t="e">
        <f t="shared" si="86"/>
        <v>#REF!</v>
      </c>
      <c r="AG61" s="447" t="e">
        <f t="shared" si="87"/>
        <v>#REF!</v>
      </c>
      <c r="AH61" s="447" t="e">
        <f t="shared" si="88"/>
        <v>#REF!</v>
      </c>
      <c r="AI61" s="447" t="e">
        <f t="shared" si="89"/>
        <v>#REF!</v>
      </c>
      <c r="AJ61" s="447" t="e">
        <f t="shared" ca="1" si="90"/>
        <v>#NAME?</v>
      </c>
      <c r="AK61" s="447" t="e">
        <f t="shared" si="103"/>
        <v>#REF!</v>
      </c>
      <c r="AL61" s="447" t="e">
        <f t="shared" si="104"/>
        <v>#REF!</v>
      </c>
      <c r="AM61" s="447" t="e">
        <f t="shared" ca="1" si="91"/>
        <v>#NAME?</v>
      </c>
      <c r="AN61" s="447" t="e">
        <f t="shared" ca="1" si="92"/>
        <v>#NAME?</v>
      </c>
      <c r="AO61" s="447" t="e">
        <f t="shared" si="93"/>
        <v>#REF!</v>
      </c>
      <c r="AP61" s="447" t="e">
        <f t="shared" si="94"/>
        <v>#REF!</v>
      </c>
      <c r="AQ61" s="447" t="e">
        <f t="shared" si="95"/>
        <v>#REF!</v>
      </c>
      <c r="AR61" s="447" t="e">
        <f t="shared" si="96"/>
        <v>#REF!</v>
      </c>
      <c r="AS61" s="18"/>
      <c r="AT61" s="2" t="e">
        <f t="shared" ca="1" si="97"/>
        <v>#REF!</v>
      </c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</row>
    <row r="62" spans="1:62" x14ac:dyDescent="0.2">
      <c r="A62" s="92" t="s">
        <v>211</v>
      </c>
      <c r="B62" s="433" t="s">
        <v>530</v>
      </c>
      <c r="C62" s="584">
        <v>696.29921259842524</v>
      </c>
      <c r="D62" s="16"/>
      <c r="E62" s="17">
        <v>29.7</v>
      </c>
      <c r="F62" s="17">
        <v>0</v>
      </c>
      <c r="G62" s="393">
        <v>1969.8877165354329</v>
      </c>
      <c r="H62" s="271">
        <v>106.99</v>
      </c>
      <c r="I62" s="17">
        <v>0</v>
      </c>
      <c r="J62" s="271">
        <v>97.75</v>
      </c>
      <c r="K62" s="17">
        <v>40</v>
      </c>
      <c r="L62" s="271">
        <v>95.74</v>
      </c>
      <c r="M62" s="271">
        <v>1074.54</v>
      </c>
      <c r="N62" s="271">
        <v>82.94</v>
      </c>
      <c r="O62" s="58"/>
      <c r="P62" s="441">
        <f t="shared" si="98"/>
        <v>2106.577716535433</v>
      </c>
      <c r="Q62" s="441">
        <f t="shared" si="84"/>
        <v>3390.557716535433</v>
      </c>
      <c r="R62" s="533"/>
      <c r="S62" s="441" t="e">
        <f t="shared" si="99"/>
        <v>#REF!</v>
      </c>
      <c r="T62" s="441" t="e">
        <f t="shared" si="100"/>
        <v>#REF!</v>
      </c>
      <c r="U62" s="533"/>
      <c r="V62" s="441" t="e">
        <f>MAX(V$53:V$54)+IF($B$2="mil",1,0.0254)*DDR2Specs!$B$3</f>
        <v>#REF!</v>
      </c>
      <c r="W62" s="441" t="e">
        <f>MIN(V$53:V$54)+IF($B$2="mil",1,0.0254)*DDR2Specs!$C$3</f>
        <v>#REF!</v>
      </c>
      <c r="X62" s="18"/>
      <c r="Y62" s="534" t="e">
        <f t="shared" si="101"/>
        <v>#REF!</v>
      </c>
      <c r="Z62" s="447" t="e">
        <f t="shared" si="102"/>
        <v>#REF!</v>
      </c>
      <c r="AA62" s="18"/>
      <c r="AB62" s="441" t="e">
        <f>MAX(AB$53:AB$54)+IF($B$2="mil",1,0.0254)*DDR2Specs!$E$3</f>
        <v>#REF!</v>
      </c>
      <c r="AC62" s="441" t="e">
        <f>MIN(AB$53:AB$54)+IF($B$2="mil",1,0.0254)*DDR2Specs!$F$3</f>
        <v>#REF!</v>
      </c>
      <c r="AD62" s="18"/>
      <c r="AE62" s="534" t="e">
        <f t="shared" si="85"/>
        <v>#REF!</v>
      </c>
      <c r="AF62" s="447" t="e">
        <f t="shared" si="86"/>
        <v>#REF!</v>
      </c>
      <c r="AG62" s="447" t="e">
        <f t="shared" si="87"/>
        <v>#REF!</v>
      </c>
      <c r="AH62" s="447" t="e">
        <f t="shared" si="88"/>
        <v>#REF!</v>
      </c>
      <c r="AI62" s="447" t="e">
        <f t="shared" si="89"/>
        <v>#REF!</v>
      </c>
      <c r="AJ62" s="447" t="e">
        <f t="shared" ca="1" si="90"/>
        <v>#NAME?</v>
      </c>
      <c r="AK62" s="447" t="e">
        <f t="shared" si="103"/>
        <v>#REF!</v>
      </c>
      <c r="AL62" s="447" t="e">
        <f t="shared" si="104"/>
        <v>#REF!</v>
      </c>
      <c r="AM62" s="447" t="e">
        <f t="shared" ca="1" si="91"/>
        <v>#NAME?</v>
      </c>
      <c r="AN62" s="447" t="e">
        <f t="shared" ca="1" si="92"/>
        <v>#NAME?</v>
      </c>
      <c r="AO62" s="447" t="e">
        <f t="shared" si="93"/>
        <v>#REF!</v>
      </c>
      <c r="AP62" s="447" t="e">
        <f t="shared" si="94"/>
        <v>#REF!</v>
      </c>
      <c r="AQ62" s="447" t="e">
        <f t="shared" si="95"/>
        <v>#REF!</v>
      </c>
      <c r="AR62" s="447" t="e">
        <f t="shared" si="96"/>
        <v>#REF!</v>
      </c>
      <c r="AS62" s="18"/>
      <c r="AT62" s="2" t="e">
        <f t="shared" ca="1" si="97"/>
        <v>#REF!</v>
      </c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</row>
    <row r="63" spans="1:62" x14ac:dyDescent="0.2">
      <c r="A63" s="92" t="s">
        <v>212</v>
      </c>
      <c r="B63" s="437" t="s">
        <v>158</v>
      </c>
      <c r="C63" s="584">
        <v>755</v>
      </c>
      <c r="D63" s="16"/>
      <c r="E63" s="17">
        <v>29.7</v>
      </c>
      <c r="F63" s="17">
        <v>0</v>
      </c>
      <c r="G63" s="393">
        <v>2007.34</v>
      </c>
      <c r="H63" s="271">
        <v>70.069999999999993</v>
      </c>
      <c r="I63" s="17">
        <v>0</v>
      </c>
      <c r="J63" s="271">
        <v>62.03</v>
      </c>
      <c r="K63" s="17">
        <v>40</v>
      </c>
      <c r="L63" s="271">
        <v>122</v>
      </c>
      <c r="M63" s="271">
        <v>1105.17</v>
      </c>
      <c r="N63" s="271">
        <v>31.49</v>
      </c>
      <c r="O63" s="58"/>
      <c r="P63" s="441">
        <f t="shared" si="98"/>
        <v>2107.11</v>
      </c>
      <c r="Q63" s="441">
        <f t="shared" si="84"/>
        <v>3397.73</v>
      </c>
      <c r="R63" s="533"/>
      <c r="S63" s="441" t="e">
        <f t="shared" si="99"/>
        <v>#REF!</v>
      </c>
      <c r="T63" s="441" t="e">
        <f t="shared" si="100"/>
        <v>#REF!</v>
      </c>
      <c r="U63" s="533"/>
      <c r="V63" s="441" t="e">
        <f>MAX(V$53:V$54)+IF($B$2="mil",1,0.0254)*DDR2Specs!$B$3</f>
        <v>#REF!</v>
      </c>
      <c r="W63" s="441" t="e">
        <f>MIN(V$53:V$54)+IF($B$2="mil",1,0.0254)*DDR2Specs!$C$3</f>
        <v>#REF!</v>
      </c>
      <c r="X63" s="18"/>
      <c r="Y63" s="534" t="e">
        <f t="shared" si="101"/>
        <v>#REF!</v>
      </c>
      <c r="Z63" s="447" t="e">
        <f t="shared" si="102"/>
        <v>#REF!</v>
      </c>
      <c r="AA63" s="18"/>
      <c r="AB63" s="441" t="e">
        <f>MAX(AB$53:AB$54)+IF($B$2="mil",1,0.0254)*DDR2Specs!$E$3</f>
        <v>#REF!</v>
      </c>
      <c r="AC63" s="441" t="e">
        <f>MIN(AB$53:AB$54)+IF($B$2="mil",1,0.0254)*DDR2Specs!$F$3</f>
        <v>#REF!</v>
      </c>
      <c r="AD63" s="18"/>
      <c r="AE63" s="534" t="e">
        <f t="shared" si="85"/>
        <v>#REF!</v>
      </c>
      <c r="AF63" s="447" t="e">
        <f t="shared" si="86"/>
        <v>#REF!</v>
      </c>
      <c r="AG63" s="447" t="e">
        <f t="shared" si="87"/>
        <v>#REF!</v>
      </c>
      <c r="AH63" s="447" t="e">
        <f t="shared" si="88"/>
        <v>#REF!</v>
      </c>
      <c r="AI63" s="447" t="e">
        <f t="shared" si="89"/>
        <v>#REF!</v>
      </c>
      <c r="AJ63" s="447" t="e">
        <f t="shared" ca="1" si="90"/>
        <v>#NAME?</v>
      </c>
      <c r="AK63" s="447" t="e">
        <f t="shared" si="103"/>
        <v>#REF!</v>
      </c>
      <c r="AL63" s="447" t="e">
        <f t="shared" si="104"/>
        <v>#REF!</v>
      </c>
      <c r="AM63" s="447" t="e">
        <f t="shared" ca="1" si="91"/>
        <v>#NAME?</v>
      </c>
      <c r="AN63" s="447" t="e">
        <f t="shared" ca="1" si="92"/>
        <v>#NAME?</v>
      </c>
      <c r="AO63" s="447" t="e">
        <f t="shared" si="93"/>
        <v>#REF!</v>
      </c>
      <c r="AP63" s="447" t="e">
        <f t="shared" si="94"/>
        <v>#REF!</v>
      </c>
      <c r="AQ63" s="447" t="e">
        <f t="shared" si="95"/>
        <v>#REF!</v>
      </c>
      <c r="AR63" s="447" t="e">
        <f t="shared" si="96"/>
        <v>#REF!</v>
      </c>
      <c r="AS63" s="18"/>
      <c r="AT63" s="2" t="e">
        <f t="shared" ca="1" si="97"/>
        <v>#REF!</v>
      </c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</row>
    <row r="64" spans="1:62" x14ac:dyDescent="0.2">
      <c r="A64" s="94" t="s">
        <v>250</v>
      </c>
      <c r="B64" s="438"/>
      <c r="C64" s="585"/>
      <c r="D64" s="51"/>
      <c r="E64" s="68"/>
      <c r="F64" s="68"/>
      <c r="G64" s="394"/>
      <c r="H64" s="265"/>
      <c r="I64" s="265"/>
      <c r="J64" s="265"/>
      <c r="K64" s="265"/>
      <c r="L64" s="265"/>
      <c r="M64" s="265"/>
      <c r="N64" s="265"/>
      <c r="O64" s="8"/>
      <c r="P64" s="68"/>
      <c r="Q64" s="68"/>
      <c r="R64" s="68"/>
      <c r="S64" s="539"/>
      <c r="T64" s="539"/>
      <c r="U64" s="539"/>
      <c r="V64" s="539"/>
      <c r="W64" s="540"/>
      <c r="X64" s="540"/>
      <c r="Y64" s="541"/>
      <c r="Z64" s="15"/>
      <c r="AA64" s="540"/>
      <c r="AB64" s="539"/>
      <c r="AC64" s="540"/>
      <c r="AD64" s="540"/>
      <c r="AE64" s="541"/>
      <c r="AF64" s="15"/>
      <c r="AG64" s="15"/>
      <c r="AH64" s="15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69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</row>
    <row r="65" spans="1:62" x14ac:dyDescent="0.2">
      <c r="A65" s="103" t="str">
        <f>'DDR2 Strobes - 1x16'!$A$23</f>
        <v>SA_DQS5</v>
      </c>
      <c r="B65" s="439" t="str">
        <f>'DDR2 Strobes - 1x16'!$B$23</f>
        <v>AB16</v>
      </c>
      <c r="C65" s="586"/>
      <c r="D65" s="44"/>
      <c r="E65" s="67"/>
      <c r="F65" s="67"/>
      <c r="G65" s="395"/>
      <c r="H65" s="266"/>
      <c r="I65" s="266"/>
      <c r="J65" s="266"/>
      <c r="K65" s="266"/>
      <c r="L65" s="266"/>
      <c r="M65" s="266"/>
      <c r="N65" s="266"/>
      <c r="O65" s="67"/>
      <c r="P65" s="67"/>
      <c r="Q65" s="67"/>
      <c r="R65" s="67"/>
      <c r="S65" s="48"/>
      <c r="T65" s="48"/>
      <c r="U65" s="48"/>
      <c r="V65" s="48" t="e">
        <f>'DDR2 Strobes - 1x16'!$S$23</f>
        <v>#REF!</v>
      </c>
      <c r="W65" s="48"/>
      <c r="X65" s="48"/>
      <c r="Y65" s="48"/>
      <c r="Z65" s="542"/>
      <c r="AA65" s="48"/>
      <c r="AB65" s="48" t="e">
        <f>'DDR2 Strobes - 1x16'!$T$23</f>
        <v>#REF!</v>
      </c>
      <c r="AC65" s="48"/>
      <c r="AD65" s="48"/>
      <c r="AE65" s="48"/>
      <c r="AF65" s="542"/>
      <c r="AG65" s="542"/>
      <c r="AH65" s="542"/>
      <c r="AI65" s="542"/>
      <c r="AJ65" s="542"/>
      <c r="AK65" s="542"/>
      <c r="AL65" s="542"/>
      <c r="AM65" s="542"/>
      <c r="AN65" s="542"/>
      <c r="AO65" s="542"/>
      <c r="AP65" s="542"/>
      <c r="AQ65" s="542"/>
      <c r="AR65" s="542"/>
      <c r="AS65" s="48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</row>
    <row r="66" spans="1:62" x14ac:dyDescent="0.2">
      <c r="A66" s="103" t="str">
        <f>'DDR2 Strobes - 1x16'!$A$24</f>
        <v>SA_DQS5#</v>
      </c>
      <c r="B66" s="439" t="str">
        <f>'DDR2 Strobes - 1x16'!$B$24</f>
        <v>AB15</v>
      </c>
      <c r="C66" s="586"/>
      <c r="D66" s="44"/>
      <c r="E66" s="67"/>
      <c r="F66" s="67"/>
      <c r="G66" s="395"/>
      <c r="H66" s="266"/>
      <c r="I66" s="266"/>
      <c r="J66" s="266"/>
      <c r="K66" s="266"/>
      <c r="L66" s="266"/>
      <c r="M66" s="266"/>
      <c r="N66" s="266"/>
      <c r="O66" s="67"/>
      <c r="P66" s="67"/>
      <c r="Q66" s="536"/>
      <c r="R66" s="536"/>
      <c r="S66" s="537"/>
      <c r="T66" s="537"/>
      <c r="U66" s="48"/>
      <c r="V66" s="48" t="e">
        <f>'DDR2 Strobes - 1x16'!$S$24</f>
        <v>#REF!</v>
      </c>
      <c r="W66" s="48"/>
      <c r="X66" s="48"/>
      <c r="Y66" s="48"/>
      <c r="Z66" s="542"/>
      <c r="AA66" s="48"/>
      <c r="AB66" s="48" t="e">
        <f>'DDR2 Strobes - 1x16'!$T$24</f>
        <v>#REF!</v>
      </c>
      <c r="AC66" s="48"/>
      <c r="AD66" s="48"/>
      <c r="AE66" s="48"/>
      <c r="AF66" s="542"/>
      <c r="AG66" s="542"/>
      <c r="AH66" s="542"/>
      <c r="AI66" s="543"/>
      <c r="AJ66" s="543"/>
      <c r="AK66" s="543"/>
      <c r="AL66" s="543"/>
      <c r="AM66" s="543"/>
      <c r="AN66" s="543"/>
      <c r="AO66" s="543"/>
      <c r="AP66" s="543"/>
      <c r="AQ66" s="543"/>
      <c r="AR66" s="543"/>
      <c r="AS66" s="48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</row>
    <row r="67" spans="1:62" x14ac:dyDescent="0.2">
      <c r="A67" s="92" t="s">
        <v>213</v>
      </c>
      <c r="B67" s="433" t="s">
        <v>387</v>
      </c>
      <c r="C67" s="584">
        <v>714.1338582677165</v>
      </c>
      <c r="D67" s="16"/>
      <c r="E67" s="17">
        <v>29.7</v>
      </c>
      <c r="F67" s="17">
        <v>0</v>
      </c>
      <c r="G67" s="393">
        <v>2063.5101574803148</v>
      </c>
      <c r="H67" s="271">
        <v>115.23</v>
      </c>
      <c r="I67" s="17">
        <v>0</v>
      </c>
      <c r="J67" s="271">
        <v>97.86</v>
      </c>
      <c r="K67" s="17">
        <v>40</v>
      </c>
      <c r="L67" s="271">
        <v>85.2</v>
      </c>
      <c r="M67" s="271">
        <v>1047.58</v>
      </c>
      <c r="N67" s="271">
        <v>98</v>
      </c>
      <c r="O67" s="58"/>
      <c r="P67" s="441">
        <f xml:space="preserve"> E67+F67+G67+H67</f>
        <v>2208.4401574803146</v>
      </c>
      <c r="Q67" s="441">
        <f>SUM(E67:G67,I67:N67)</f>
        <v>3461.8501574803145</v>
      </c>
      <c r="R67" s="533"/>
      <c r="S67" s="441" t="e">
        <f>P67+IF($B$2="mil",1,0.0254)*C67</f>
        <v>#REF!</v>
      </c>
      <c r="T67" s="441" t="e">
        <f>Q67+IF($B$2="mil",1,0.0254)*C67</f>
        <v>#REF!</v>
      </c>
      <c r="U67" s="533"/>
      <c r="V67" s="441" t="e">
        <f>MAX(V$65:V$66)+IF($B$2="mil",1,0.0254)*DDR2Specs!$B$3</f>
        <v>#REF!</v>
      </c>
      <c r="W67" s="441" t="e">
        <f>MIN(V$65:V$66)+IF($B$2="mil",1,0.0254)*DDR2Specs!$C$3</f>
        <v>#REF!</v>
      </c>
      <c r="X67" s="18"/>
      <c r="Y67" s="534" t="e">
        <f>IF($S67&lt;$V67,$V67-$S67,"Pass")</f>
        <v>#REF!</v>
      </c>
      <c r="Z67" s="447" t="e">
        <f>IF($S67&gt;$W67,$S67-$W67,"Pass")</f>
        <v>#REF!</v>
      </c>
      <c r="AA67" s="18"/>
      <c r="AB67" s="441" t="e">
        <f>MAX(AB$65:AB$66)+IF($B$2="mil",1,0.0254)*DDR2Specs!$E$3</f>
        <v>#REF!</v>
      </c>
      <c r="AC67" s="441" t="e">
        <f>MIN(AB$65:AB$66)+IF($B$2="mil",1,0.0254)*DDR2Specs!$F$3</f>
        <v>#REF!</v>
      </c>
      <c r="AD67" s="18"/>
      <c r="AE67" s="534" t="e">
        <f t="shared" ref="AE67:AE75" si="105">IF($T67&lt;$AB67,$AB67-$T67,"Pass")</f>
        <v>#REF!</v>
      </c>
      <c r="AF67" s="447" t="e">
        <f t="shared" ref="AF67:AF75" si="106">IF($T67&gt;$AC67,$T67-$AC67,"Pass")</f>
        <v>#REF!</v>
      </c>
      <c r="AG67" s="447" t="e">
        <f t="shared" ref="AG67:AG75" si="107">IF($E67&lt;=IF($B$2="mil",1,0.0254)*50,"Pass",IF($B$2="mil",1,0.0254)*50-$E67)</f>
        <v>#REF!</v>
      </c>
      <c r="AH67" s="447" t="e">
        <f t="shared" ref="AH67:AH75" si="108">IF($F67&lt;=IF($B$2="mil",1,0.0254)*500,"Pass",IF($B$2="mil",1,0.0254)*500-$F67)</f>
        <v>#REF!</v>
      </c>
      <c r="AI67" s="447" t="e">
        <f t="shared" ref="AI67:AI75" si="109">IF($H67&lt;=IF($B$2="mil",1,0.0254)*250,"Pass",IF($B$2="mil",1,0.0254)*250-$H67)</f>
        <v>#REF!</v>
      </c>
      <c r="AJ67" s="447" t="e">
        <f t="shared" ref="AJ67:AJ75" ca="1" si="110">CheckLength(IF($B$2="mil",1,0.0254)*1125, IF($B$2="mil",1,0.0254)*125-J67, 0, I67,J67,0)</f>
        <v>#NAME?</v>
      </c>
      <c r="AK67" s="447" t="e">
        <f>IF($J67&lt;=IF($B$2="mil",1,0.0254)*125,"Pass",IF($B$2="mil",1,0.0254)*125-$J67)</f>
        <v>#REF!</v>
      </c>
      <c r="AL67" s="447" t="e">
        <f>IF($L67&lt;=IF($B$2="mil",1,0.0254)*125,"Pass",IF($B$2="mil",1,0.0254)*125-$L67)</f>
        <v>#REF!</v>
      </c>
      <c r="AM67" s="447" t="e">
        <f t="shared" ref="AM67:AM75" ca="1" si="111">CheckLength(IF($B$2="mil",1,0.0254)*1525, IF($B$2="mil",1,0.0254)*125-L67, IF($B$2="mil",1,0.0254)*150-N67, M67,L67,N67)</f>
        <v>#NAME?</v>
      </c>
      <c r="AN67" s="447" t="e">
        <f t="shared" ref="AN67:AN75" ca="1" si="112">CheckLength2(IF($B$2="mil",1,0.0254)*1400,M67,N67,0)</f>
        <v>#NAME?</v>
      </c>
      <c r="AO67" s="447" t="e">
        <f t="shared" ref="AO67:AO75" si="113">IF(AND($P67&gt;=IF($B$2="mil",1,0.0254)*500, $P67&lt;=IF($B$2="mil",1,0.0254)*4000),"Pass",IF($B$2="mil",1,0.0254)*4000-$P67)</f>
        <v>#REF!</v>
      </c>
      <c r="AP67" s="447" t="e">
        <f t="shared" ref="AP67:AP75" si="114">IF(AND($S67&gt;=IF($B$2="mil",1,0.0254)*500, $S67&lt;=IF($B$2="mil",1,0.0254)*4500),"Pass",IF($B$2="mil",1,0.0254)*4500-$S67)</f>
        <v>#REF!</v>
      </c>
      <c r="AQ67" s="447" t="e">
        <f t="shared" ref="AQ67:AQ75" si="115">IF(AND($Q67&gt;=IF($B$2="mil",1,0.0254)*500, $Q67&lt;=IF($B$2="mil",1,0.0254)*5500),"Pass",IF($B$2="mil",1,0.0254)*5500-$Q67)</f>
        <v>#REF!</v>
      </c>
      <c r="AR67" s="447" t="e">
        <f t="shared" ref="AR67:AR75" si="116">IF(AND($T67&gt;=IF($B$2="mil",1,0.0254)*500, $T67&lt;=IF($B$2="mil",1,0.0254)*6000),"Pass",IF($B$2="mil",1,0.0254)*6000-$T67)</f>
        <v>#REF!</v>
      </c>
      <c r="AS67" s="18"/>
      <c r="AT67" s="2" t="e">
        <f t="shared" ref="AT67:AT75" ca="1" si="117">IF(AND(AG67="Pass",AP67="Pass",AI67="Pass",AH67="Pass",AO67="Pass",Y67="Pass",Z67="Pass",AN67="Pass",AM67="Pass",AL67="Pass",AK67="Pass",AJ67="Pass",AE67="Pass",AF67="Pass",AQ67="Pass",AR67="Pass"),"Pass","Fail")</f>
        <v>#REF!</v>
      </c>
      <c r="AU67" s="2" t="e">
        <f ca="1">IF(AND(AT67="Pass",AT68="Pass",AT69="Pass",AT70="Pass",AT71="Pass",AT72="Pass",AT73="Pass",AT74="Pass",AT75="Pass"),"Pass","Fail")</f>
        <v>#REF!</v>
      </c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</row>
    <row r="68" spans="1:62" x14ac:dyDescent="0.2">
      <c r="A68" s="92" t="s">
        <v>214</v>
      </c>
      <c r="B68" s="435" t="s">
        <v>389</v>
      </c>
      <c r="C68" s="584">
        <v>754.9212598425197</v>
      </c>
      <c r="D68" s="16"/>
      <c r="E68" s="17">
        <v>29.7</v>
      </c>
      <c r="F68" s="17">
        <v>0</v>
      </c>
      <c r="G68" s="393">
        <v>2143.0360629921261</v>
      </c>
      <c r="H68" s="271">
        <v>63.46</v>
      </c>
      <c r="I68" s="17">
        <v>0</v>
      </c>
      <c r="J68" s="271">
        <v>53.71</v>
      </c>
      <c r="K68" s="17">
        <v>40</v>
      </c>
      <c r="L68" s="271">
        <v>50.78</v>
      </c>
      <c r="M68" s="271">
        <v>1089.94</v>
      </c>
      <c r="N68" s="271">
        <v>81</v>
      </c>
      <c r="O68" s="58"/>
      <c r="P68" s="441">
        <f t="shared" ref="P68:P75" si="118" xml:space="preserve"> E68+F68+G68+H68</f>
        <v>2236.1960629921259</v>
      </c>
      <c r="Q68" s="441">
        <f t="shared" ref="Q68:Q75" si="119">SUM(E68:G68,I68:N68)</f>
        <v>3488.1660629921262</v>
      </c>
      <c r="R68" s="533"/>
      <c r="S68" s="441" t="e">
        <f t="shared" ref="S68:S75" si="120">P68+IF($B$2="mil",1,0.0254)*C68</f>
        <v>#REF!</v>
      </c>
      <c r="T68" s="441" t="e">
        <f t="shared" ref="T68:T75" si="121">Q68+IF($B$2="mil",1,0.0254)*C68</f>
        <v>#REF!</v>
      </c>
      <c r="U68" s="533"/>
      <c r="V68" s="441" t="e">
        <f>MAX(V$65:V$66)+IF($B$2="mil",1,0.0254)*DDR2Specs!$B$3</f>
        <v>#REF!</v>
      </c>
      <c r="W68" s="441" t="e">
        <f>MIN(V$65:V$66)+IF($B$2="mil",1,0.0254)*DDR2Specs!$C$3</f>
        <v>#REF!</v>
      </c>
      <c r="X68" s="18"/>
      <c r="Y68" s="534" t="e">
        <f t="shared" ref="Y68:Y75" si="122">IF($S68&lt;$V68,$V68-$S68,"Pass")</f>
        <v>#REF!</v>
      </c>
      <c r="Z68" s="447" t="e">
        <f t="shared" ref="Z68:Z75" si="123">IF($S68&gt;$W68,$S68-$W68,"Pass")</f>
        <v>#REF!</v>
      </c>
      <c r="AA68" s="18"/>
      <c r="AB68" s="441" t="e">
        <f>MAX(AB$65:AB$66)+IF($B$2="mil",1,0.0254)*DDR2Specs!$E$3</f>
        <v>#REF!</v>
      </c>
      <c r="AC68" s="441" t="e">
        <f>MIN(AB$65:AB$66)+IF($B$2="mil",1,0.0254)*DDR2Specs!$F$3</f>
        <v>#REF!</v>
      </c>
      <c r="AD68" s="18"/>
      <c r="AE68" s="534" t="e">
        <f t="shared" si="105"/>
        <v>#REF!</v>
      </c>
      <c r="AF68" s="447" t="e">
        <f t="shared" si="106"/>
        <v>#REF!</v>
      </c>
      <c r="AG68" s="447" t="e">
        <f t="shared" si="107"/>
        <v>#REF!</v>
      </c>
      <c r="AH68" s="447" t="e">
        <f t="shared" si="108"/>
        <v>#REF!</v>
      </c>
      <c r="AI68" s="447" t="e">
        <f t="shared" si="109"/>
        <v>#REF!</v>
      </c>
      <c r="AJ68" s="447" t="e">
        <f t="shared" ca="1" si="110"/>
        <v>#NAME?</v>
      </c>
      <c r="AK68" s="447" t="e">
        <f t="shared" ref="AK68:AK75" si="124">IF($J68&lt;=IF($B$2="mil",1,0.0254)*125,"Pass",IF($B$2="mil",1,0.0254)*125-$J68)</f>
        <v>#REF!</v>
      </c>
      <c r="AL68" s="447" t="e">
        <f t="shared" ref="AL68:AL75" si="125">IF($L68&lt;=IF($B$2="mil",1,0.0254)*125,"Pass",IF($B$2="mil",1,0.0254)*125-$L68)</f>
        <v>#REF!</v>
      </c>
      <c r="AM68" s="447" t="e">
        <f t="shared" ca="1" si="111"/>
        <v>#NAME?</v>
      </c>
      <c r="AN68" s="447" t="e">
        <f t="shared" ca="1" si="112"/>
        <v>#NAME?</v>
      </c>
      <c r="AO68" s="447" t="e">
        <f t="shared" si="113"/>
        <v>#REF!</v>
      </c>
      <c r="AP68" s="447" t="e">
        <f t="shared" si="114"/>
        <v>#REF!</v>
      </c>
      <c r="AQ68" s="447" t="e">
        <f t="shared" si="115"/>
        <v>#REF!</v>
      </c>
      <c r="AR68" s="447" t="e">
        <f t="shared" si="116"/>
        <v>#REF!</v>
      </c>
      <c r="AS68" s="18"/>
      <c r="AT68" s="2" t="e">
        <f t="shared" ca="1" si="117"/>
        <v>#REF!</v>
      </c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</row>
    <row r="69" spans="1:62" x14ac:dyDescent="0.2">
      <c r="A69" s="92" t="s">
        <v>215</v>
      </c>
      <c r="B69" s="435" t="s">
        <v>531</v>
      </c>
      <c r="C69" s="584">
        <v>593.89763779527561</v>
      </c>
      <c r="D69" s="16"/>
      <c r="E69" s="17">
        <v>29.7</v>
      </c>
      <c r="F69" s="17">
        <v>0</v>
      </c>
      <c r="G69" s="393">
        <v>2023.6405511811017</v>
      </c>
      <c r="H69" s="271">
        <v>111.95</v>
      </c>
      <c r="I69" s="17">
        <v>0</v>
      </c>
      <c r="J69" s="271">
        <v>95.78</v>
      </c>
      <c r="K69" s="17">
        <v>40</v>
      </c>
      <c r="L69" s="271">
        <v>50.78</v>
      </c>
      <c r="M69" s="271">
        <v>1141.67</v>
      </c>
      <c r="N69" s="271">
        <v>36</v>
      </c>
      <c r="O69" s="58"/>
      <c r="P69" s="441">
        <f t="shared" si="118"/>
        <v>2165.2905511811014</v>
      </c>
      <c r="Q69" s="441">
        <f t="shared" si="119"/>
        <v>3417.570551181102</v>
      </c>
      <c r="R69" s="533"/>
      <c r="S69" s="441" t="e">
        <f t="shared" si="120"/>
        <v>#REF!</v>
      </c>
      <c r="T69" s="441" t="e">
        <f t="shared" si="121"/>
        <v>#REF!</v>
      </c>
      <c r="U69" s="533"/>
      <c r="V69" s="441" t="e">
        <f>MAX(V$65:V$66)+IF($B$2="mil",1,0.0254)*DDR2Specs!$B$3</f>
        <v>#REF!</v>
      </c>
      <c r="W69" s="441" t="e">
        <f>MIN(V$65:V$66)+IF($B$2="mil",1,0.0254)*DDR2Specs!$C$3</f>
        <v>#REF!</v>
      </c>
      <c r="X69" s="18"/>
      <c r="Y69" s="534" t="e">
        <f t="shared" si="122"/>
        <v>#REF!</v>
      </c>
      <c r="Z69" s="447" t="e">
        <f t="shared" si="123"/>
        <v>#REF!</v>
      </c>
      <c r="AA69" s="18"/>
      <c r="AB69" s="441" t="e">
        <f>MAX(AB$65:AB$66)+IF($B$2="mil",1,0.0254)*DDR2Specs!$E$3</f>
        <v>#REF!</v>
      </c>
      <c r="AC69" s="441" t="e">
        <f>MIN(AB$65:AB$66)+IF($B$2="mil",1,0.0254)*DDR2Specs!$F$3</f>
        <v>#REF!</v>
      </c>
      <c r="AD69" s="18"/>
      <c r="AE69" s="534" t="e">
        <f t="shared" si="105"/>
        <v>#REF!</v>
      </c>
      <c r="AF69" s="447" t="e">
        <f t="shared" si="106"/>
        <v>#REF!</v>
      </c>
      <c r="AG69" s="447" t="e">
        <f t="shared" si="107"/>
        <v>#REF!</v>
      </c>
      <c r="AH69" s="447" t="e">
        <f t="shared" si="108"/>
        <v>#REF!</v>
      </c>
      <c r="AI69" s="447" t="e">
        <f t="shared" si="109"/>
        <v>#REF!</v>
      </c>
      <c r="AJ69" s="447" t="e">
        <f t="shared" ca="1" si="110"/>
        <v>#NAME?</v>
      </c>
      <c r="AK69" s="447" t="e">
        <f t="shared" si="124"/>
        <v>#REF!</v>
      </c>
      <c r="AL69" s="447" t="e">
        <f t="shared" si="125"/>
        <v>#REF!</v>
      </c>
      <c r="AM69" s="447" t="e">
        <f t="shared" ca="1" si="111"/>
        <v>#NAME?</v>
      </c>
      <c r="AN69" s="447" t="e">
        <f t="shared" ca="1" si="112"/>
        <v>#NAME?</v>
      </c>
      <c r="AO69" s="447" t="e">
        <f t="shared" si="113"/>
        <v>#REF!</v>
      </c>
      <c r="AP69" s="447" t="e">
        <f t="shared" si="114"/>
        <v>#REF!</v>
      </c>
      <c r="AQ69" s="447" t="e">
        <f t="shared" si="115"/>
        <v>#REF!</v>
      </c>
      <c r="AR69" s="447" t="e">
        <f t="shared" si="116"/>
        <v>#REF!</v>
      </c>
      <c r="AS69" s="18"/>
      <c r="AT69" s="2" t="e">
        <f t="shared" ca="1" si="117"/>
        <v>#REF!</v>
      </c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</row>
    <row r="70" spans="1:62" x14ac:dyDescent="0.2">
      <c r="A70" s="92" t="s">
        <v>216</v>
      </c>
      <c r="B70" s="433" t="s">
        <v>419</v>
      </c>
      <c r="C70" s="584">
        <v>626.37795275590554</v>
      </c>
      <c r="D70" s="16"/>
      <c r="E70" s="17">
        <v>29.7</v>
      </c>
      <c r="F70" s="17">
        <v>0</v>
      </c>
      <c r="G70" s="393">
        <v>1963.5007086614169</v>
      </c>
      <c r="H70" s="271">
        <v>65.83</v>
      </c>
      <c r="I70" s="17">
        <v>0</v>
      </c>
      <c r="J70" s="271">
        <v>55.78</v>
      </c>
      <c r="K70" s="17">
        <v>40</v>
      </c>
      <c r="L70" s="271">
        <v>85.78</v>
      </c>
      <c r="M70" s="271">
        <v>1103.6400000000001</v>
      </c>
      <c r="N70" s="271">
        <v>33</v>
      </c>
      <c r="O70" s="58"/>
      <c r="P70" s="441">
        <f t="shared" si="118"/>
        <v>2059.0307086614171</v>
      </c>
      <c r="Q70" s="441">
        <f t="shared" si="119"/>
        <v>3311.4007086614174</v>
      </c>
      <c r="R70" s="533"/>
      <c r="S70" s="441" t="e">
        <f t="shared" si="120"/>
        <v>#REF!</v>
      </c>
      <c r="T70" s="441" t="e">
        <f t="shared" si="121"/>
        <v>#REF!</v>
      </c>
      <c r="U70" s="533"/>
      <c r="V70" s="441" t="e">
        <f>MAX(V$65:V$66)+IF($B$2="mil",1,0.0254)*DDR2Specs!$B$3</f>
        <v>#REF!</v>
      </c>
      <c r="W70" s="441" t="e">
        <f>MIN(V$65:V$66)+IF($B$2="mil",1,0.0254)*DDR2Specs!$C$3</f>
        <v>#REF!</v>
      </c>
      <c r="X70" s="18"/>
      <c r="Y70" s="534" t="e">
        <f t="shared" si="122"/>
        <v>#REF!</v>
      </c>
      <c r="Z70" s="447" t="e">
        <f t="shared" si="123"/>
        <v>#REF!</v>
      </c>
      <c r="AA70" s="18"/>
      <c r="AB70" s="441" t="e">
        <f>MAX(AB$65:AB$66)+IF($B$2="mil",1,0.0254)*DDR2Specs!$E$3</f>
        <v>#REF!</v>
      </c>
      <c r="AC70" s="441" t="e">
        <f>MIN(AB$65:AB$66)+IF($B$2="mil",1,0.0254)*DDR2Specs!$F$3</f>
        <v>#REF!</v>
      </c>
      <c r="AD70" s="18"/>
      <c r="AE70" s="534" t="e">
        <f t="shared" si="105"/>
        <v>#REF!</v>
      </c>
      <c r="AF70" s="447" t="e">
        <f t="shared" si="106"/>
        <v>#REF!</v>
      </c>
      <c r="AG70" s="447" t="e">
        <f t="shared" si="107"/>
        <v>#REF!</v>
      </c>
      <c r="AH70" s="447" t="e">
        <f t="shared" si="108"/>
        <v>#REF!</v>
      </c>
      <c r="AI70" s="447" t="e">
        <f t="shared" si="109"/>
        <v>#REF!</v>
      </c>
      <c r="AJ70" s="447" t="e">
        <f t="shared" ca="1" si="110"/>
        <v>#NAME?</v>
      </c>
      <c r="AK70" s="447" t="e">
        <f t="shared" si="124"/>
        <v>#REF!</v>
      </c>
      <c r="AL70" s="447" t="e">
        <f t="shared" si="125"/>
        <v>#REF!</v>
      </c>
      <c r="AM70" s="447" t="e">
        <f t="shared" ca="1" si="111"/>
        <v>#NAME?</v>
      </c>
      <c r="AN70" s="447" t="e">
        <f t="shared" ca="1" si="112"/>
        <v>#NAME?</v>
      </c>
      <c r="AO70" s="447" t="e">
        <f t="shared" si="113"/>
        <v>#REF!</v>
      </c>
      <c r="AP70" s="447" t="e">
        <f t="shared" si="114"/>
        <v>#REF!</v>
      </c>
      <c r="AQ70" s="447" t="e">
        <f t="shared" si="115"/>
        <v>#REF!</v>
      </c>
      <c r="AR70" s="447" t="e">
        <f t="shared" si="116"/>
        <v>#REF!</v>
      </c>
      <c r="AS70" s="18"/>
      <c r="AT70" s="2" t="e">
        <f t="shared" ca="1" si="117"/>
        <v>#REF!</v>
      </c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</row>
    <row r="71" spans="1:62" x14ac:dyDescent="0.2">
      <c r="A71" s="92" t="s">
        <v>217</v>
      </c>
      <c r="B71" s="433" t="s">
        <v>532</v>
      </c>
      <c r="C71" s="584">
        <v>594.33070866141736</v>
      </c>
      <c r="D71" s="16"/>
      <c r="E71" s="17">
        <v>29.7</v>
      </c>
      <c r="F71" s="17">
        <v>0</v>
      </c>
      <c r="G71" s="393">
        <v>2114.6411811023618</v>
      </c>
      <c r="H71" s="271">
        <v>80.91</v>
      </c>
      <c r="I71" s="17">
        <v>0</v>
      </c>
      <c r="J71" s="271">
        <v>54.06</v>
      </c>
      <c r="K71" s="17">
        <v>40</v>
      </c>
      <c r="L71" s="271">
        <v>92</v>
      </c>
      <c r="M71" s="271">
        <v>1067.9000000000001</v>
      </c>
      <c r="N71" s="271">
        <v>80</v>
      </c>
      <c r="O71" s="58"/>
      <c r="P71" s="441">
        <f t="shared" si="118"/>
        <v>2225.2511811023614</v>
      </c>
      <c r="Q71" s="441">
        <f t="shared" si="119"/>
        <v>3478.3011811023616</v>
      </c>
      <c r="R71" s="533"/>
      <c r="S71" s="441" t="e">
        <f t="shared" si="120"/>
        <v>#REF!</v>
      </c>
      <c r="T71" s="441" t="e">
        <f t="shared" si="121"/>
        <v>#REF!</v>
      </c>
      <c r="U71" s="533"/>
      <c r="V71" s="441" t="e">
        <f>MAX(V$65:V$66)+IF($B$2="mil",1,0.0254)*DDR2Specs!$B$3</f>
        <v>#REF!</v>
      </c>
      <c r="W71" s="441" t="e">
        <f>MIN(V$65:V$66)+IF($B$2="mil",1,0.0254)*DDR2Specs!$C$3</f>
        <v>#REF!</v>
      </c>
      <c r="X71" s="18"/>
      <c r="Y71" s="534" t="e">
        <f t="shared" si="122"/>
        <v>#REF!</v>
      </c>
      <c r="Z71" s="447" t="e">
        <f t="shared" si="123"/>
        <v>#REF!</v>
      </c>
      <c r="AA71" s="18"/>
      <c r="AB71" s="441" t="e">
        <f>MAX(AB$65:AB$66)+IF($B$2="mil",1,0.0254)*DDR2Specs!$E$3</f>
        <v>#REF!</v>
      </c>
      <c r="AC71" s="441" t="e">
        <f>MIN(AB$65:AB$66)+IF($B$2="mil",1,0.0254)*DDR2Specs!$F$3</f>
        <v>#REF!</v>
      </c>
      <c r="AD71" s="18"/>
      <c r="AE71" s="534" t="e">
        <f t="shared" si="105"/>
        <v>#REF!</v>
      </c>
      <c r="AF71" s="447" t="e">
        <f t="shared" si="106"/>
        <v>#REF!</v>
      </c>
      <c r="AG71" s="447" t="e">
        <f t="shared" si="107"/>
        <v>#REF!</v>
      </c>
      <c r="AH71" s="447" t="e">
        <f t="shared" si="108"/>
        <v>#REF!</v>
      </c>
      <c r="AI71" s="447" t="e">
        <f t="shared" si="109"/>
        <v>#REF!</v>
      </c>
      <c r="AJ71" s="447" t="e">
        <f t="shared" ca="1" si="110"/>
        <v>#NAME?</v>
      </c>
      <c r="AK71" s="447" t="e">
        <f t="shared" si="124"/>
        <v>#REF!</v>
      </c>
      <c r="AL71" s="447" t="e">
        <f t="shared" si="125"/>
        <v>#REF!</v>
      </c>
      <c r="AM71" s="447" t="e">
        <f t="shared" ca="1" si="111"/>
        <v>#NAME?</v>
      </c>
      <c r="AN71" s="447" t="e">
        <f t="shared" ca="1" si="112"/>
        <v>#NAME?</v>
      </c>
      <c r="AO71" s="447" t="e">
        <f t="shared" si="113"/>
        <v>#REF!</v>
      </c>
      <c r="AP71" s="447" t="e">
        <f t="shared" si="114"/>
        <v>#REF!</v>
      </c>
      <c r="AQ71" s="447" t="e">
        <f t="shared" si="115"/>
        <v>#REF!</v>
      </c>
      <c r="AR71" s="447" t="e">
        <f t="shared" si="116"/>
        <v>#REF!</v>
      </c>
      <c r="AS71" s="18"/>
      <c r="AT71" s="2" t="e">
        <f t="shared" ca="1" si="117"/>
        <v>#REF!</v>
      </c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</row>
    <row r="72" spans="1:62" x14ac:dyDescent="0.2">
      <c r="A72" s="92" t="s">
        <v>218</v>
      </c>
      <c r="B72" s="433" t="s">
        <v>415</v>
      </c>
      <c r="C72" s="584">
        <v>587.95275590551182</v>
      </c>
      <c r="D72" s="16"/>
      <c r="E72" s="17">
        <v>29.7</v>
      </c>
      <c r="F72" s="17">
        <v>0</v>
      </c>
      <c r="G72" s="393">
        <v>1999.3152755905508</v>
      </c>
      <c r="H72" s="271">
        <v>123.48</v>
      </c>
      <c r="I72" s="17">
        <v>0</v>
      </c>
      <c r="J72" s="271">
        <v>103.97</v>
      </c>
      <c r="K72" s="17">
        <v>40</v>
      </c>
      <c r="L72" s="271">
        <v>124</v>
      </c>
      <c r="M72" s="271">
        <v>1007.05</v>
      </c>
      <c r="N72" s="271">
        <v>100</v>
      </c>
      <c r="O72" s="58"/>
      <c r="P72" s="441">
        <f t="shared" si="118"/>
        <v>2152.4952755905506</v>
      </c>
      <c r="Q72" s="441">
        <f t="shared" si="119"/>
        <v>3404.0352755905506</v>
      </c>
      <c r="R72" s="533"/>
      <c r="S72" s="441" t="e">
        <f t="shared" si="120"/>
        <v>#REF!</v>
      </c>
      <c r="T72" s="441" t="e">
        <f t="shared" si="121"/>
        <v>#REF!</v>
      </c>
      <c r="U72" s="533"/>
      <c r="V72" s="441" t="e">
        <f>MAX(V$65:V$66)+IF($B$2="mil",1,0.0254)*DDR2Specs!$B$3</f>
        <v>#REF!</v>
      </c>
      <c r="W72" s="441" t="e">
        <f>MIN(V$65:V$66)+IF($B$2="mil",1,0.0254)*DDR2Specs!$C$3</f>
        <v>#REF!</v>
      </c>
      <c r="X72" s="18"/>
      <c r="Y72" s="534" t="e">
        <f t="shared" si="122"/>
        <v>#REF!</v>
      </c>
      <c r="Z72" s="447" t="e">
        <f t="shared" si="123"/>
        <v>#REF!</v>
      </c>
      <c r="AA72" s="18"/>
      <c r="AB72" s="441" t="e">
        <f>MAX(AB$65:AB$66)+IF($B$2="mil",1,0.0254)*DDR2Specs!$E$3</f>
        <v>#REF!</v>
      </c>
      <c r="AC72" s="441" t="e">
        <f>MIN(AB$65:AB$66)+IF($B$2="mil",1,0.0254)*DDR2Specs!$F$3</f>
        <v>#REF!</v>
      </c>
      <c r="AD72" s="18"/>
      <c r="AE72" s="534" t="e">
        <f t="shared" si="105"/>
        <v>#REF!</v>
      </c>
      <c r="AF72" s="447" t="e">
        <f t="shared" si="106"/>
        <v>#REF!</v>
      </c>
      <c r="AG72" s="447" t="e">
        <f t="shared" si="107"/>
        <v>#REF!</v>
      </c>
      <c r="AH72" s="447" t="e">
        <f t="shared" si="108"/>
        <v>#REF!</v>
      </c>
      <c r="AI72" s="447" t="e">
        <f t="shared" si="109"/>
        <v>#REF!</v>
      </c>
      <c r="AJ72" s="447" t="e">
        <f t="shared" ca="1" si="110"/>
        <v>#NAME?</v>
      </c>
      <c r="AK72" s="447" t="e">
        <f t="shared" si="124"/>
        <v>#REF!</v>
      </c>
      <c r="AL72" s="447" t="e">
        <f t="shared" si="125"/>
        <v>#REF!</v>
      </c>
      <c r="AM72" s="447" t="e">
        <f t="shared" ca="1" si="111"/>
        <v>#NAME?</v>
      </c>
      <c r="AN72" s="447" t="e">
        <f t="shared" ca="1" si="112"/>
        <v>#NAME?</v>
      </c>
      <c r="AO72" s="447" t="e">
        <f t="shared" si="113"/>
        <v>#REF!</v>
      </c>
      <c r="AP72" s="447" t="e">
        <f t="shared" si="114"/>
        <v>#REF!</v>
      </c>
      <c r="AQ72" s="447" t="e">
        <f t="shared" si="115"/>
        <v>#REF!</v>
      </c>
      <c r="AR72" s="447" t="e">
        <f t="shared" si="116"/>
        <v>#REF!</v>
      </c>
      <c r="AS72" s="18"/>
      <c r="AT72" s="2" t="e">
        <f t="shared" ca="1" si="117"/>
        <v>#REF!</v>
      </c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</row>
    <row r="73" spans="1:62" x14ac:dyDescent="0.2">
      <c r="A73" s="92" t="s">
        <v>219</v>
      </c>
      <c r="B73" s="433" t="s">
        <v>420</v>
      </c>
      <c r="C73" s="584">
        <v>692.79527559055123</v>
      </c>
      <c r="D73" s="16"/>
      <c r="E73" s="17">
        <v>29.7</v>
      </c>
      <c r="F73" s="17">
        <v>0</v>
      </c>
      <c r="G73" s="393">
        <v>2124.7457480314961</v>
      </c>
      <c r="H73" s="271">
        <v>94.27</v>
      </c>
      <c r="I73" s="17">
        <v>0</v>
      </c>
      <c r="J73" s="271">
        <v>69.34</v>
      </c>
      <c r="K73" s="17">
        <v>40</v>
      </c>
      <c r="L73" s="271">
        <v>89.93</v>
      </c>
      <c r="M73" s="271">
        <v>1066.01</v>
      </c>
      <c r="N73" s="271">
        <v>81</v>
      </c>
      <c r="O73" s="58"/>
      <c r="P73" s="441">
        <f t="shared" si="118"/>
        <v>2248.7157480314959</v>
      </c>
      <c r="Q73" s="441">
        <f t="shared" si="119"/>
        <v>3500.7257480314956</v>
      </c>
      <c r="R73" s="533"/>
      <c r="S73" s="441" t="e">
        <f t="shared" si="120"/>
        <v>#REF!</v>
      </c>
      <c r="T73" s="441" t="e">
        <f t="shared" si="121"/>
        <v>#REF!</v>
      </c>
      <c r="U73" s="533"/>
      <c r="V73" s="441" t="e">
        <f>MAX(V$65:V$66)+IF($B$2="mil",1,0.0254)*DDR2Specs!$B$3</f>
        <v>#REF!</v>
      </c>
      <c r="W73" s="441" t="e">
        <f>MIN(V$65:V$66)+IF($B$2="mil",1,0.0254)*DDR2Specs!$C$3</f>
        <v>#REF!</v>
      </c>
      <c r="X73" s="18"/>
      <c r="Y73" s="534" t="e">
        <f t="shared" si="122"/>
        <v>#REF!</v>
      </c>
      <c r="Z73" s="447" t="e">
        <f t="shared" si="123"/>
        <v>#REF!</v>
      </c>
      <c r="AA73" s="18"/>
      <c r="AB73" s="441" t="e">
        <f>MAX(AB$65:AB$66)+IF($B$2="mil",1,0.0254)*DDR2Specs!$E$3</f>
        <v>#REF!</v>
      </c>
      <c r="AC73" s="441" t="e">
        <f>MIN(AB$65:AB$66)+IF($B$2="mil",1,0.0254)*DDR2Specs!$F$3</f>
        <v>#REF!</v>
      </c>
      <c r="AD73" s="18"/>
      <c r="AE73" s="534" t="e">
        <f t="shared" si="105"/>
        <v>#REF!</v>
      </c>
      <c r="AF73" s="447" t="e">
        <f t="shared" si="106"/>
        <v>#REF!</v>
      </c>
      <c r="AG73" s="447" t="e">
        <f t="shared" si="107"/>
        <v>#REF!</v>
      </c>
      <c r="AH73" s="447" t="e">
        <f t="shared" si="108"/>
        <v>#REF!</v>
      </c>
      <c r="AI73" s="447" t="e">
        <f t="shared" si="109"/>
        <v>#REF!</v>
      </c>
      <c r="AJ73" s="447" t="e">
        <f t="shared" ca="1" si="110"/>
        <v>#NAME?</v>
      </c>
      <c r="AK73" s="447" t="e">
        <f t="shared" si="124"/>
        <v>#REF!</v>
      </c>
      <c r="AL73" s="447" t="e">
        <f t="shared" si="125"/>
        <v>#REF!</v>
      </c>
      <c r="AM73" s="447" t="e">
        <f t="shared" ca="1" si="111"/>
        <v>#NAME?</v>
      </c>
      <c r="AN73" s="447" t="e">
        <f t="shared" ca="1" si="112"/>
        <v>#NAME?</v>
      </c>
      <c r="AO73" s="447" t="e">
        <f t="shared" si="113"/>
        <v>#REF!</v>
      </c>
      <c r="AP73" s="447" t="e">
        <f t="shared" si="114"/>
        <v>#REF!</v>
      </c>
      <c r="AQ73" s="447" t="e">
        <f t="shared" si="115"/>
        <v>#REF!</v>
      </c>
      <c r="AR73" s="447" t="e">
        <f t="shared" si="116"/>
        <v>#REF!</v>
      </c>
      <c r="AS73" s="18"/>
      <c r="AT73" s="2" t="e">
        <f t="shared" ca="1" si="117"/>
        <v>#REF!</v>
      </c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</row>
    <row r="74" spans="1:62" x14ac:dyDescent="0.2">
      <c r="A74" s="92" t="s">
        <v>220</v>
      </c>
      <c r="B74" s="433" t="s">
        <v>533</v>
      </c>
      <c r="C74" s="584">
        <v>671.29921259842513</v>
      </c>
      <c r="D74" s="16"/>
      <c r="E74" s="17">
        <v>29.7</v>
      </c>
      <c r="F74" s="17">
        <v>0</v>
      </c>
      <c r="G74" s="393">
        <v>1962.1749606299206</v>
      </c>
      <c r="H74" s="271">
        <v>88.14</v>
      </c>
      <c r="I74" s="17">
        <v>0</v>
      </c>
      <c r="J74" s="271">
        <v>72.650000000000006</v>
      </c>
      <c r="K74" s="17">
        <v>40</v>
      </c>
      <c r="L74" s="271">
        <v>120.65</v>
      </c>
      <c r="M74" s="271">
        <v>1020.17</v>
      </c>
      <c r="N74" s="271">
        <v>87</v>
      </c>
      <c r="O74" s="58"/>
      <c r="P74" s="441">
        <f t="shared" si="118"/>
        <v>2080.0149606299206</v>
      </c>
      <c r="Q74" s="441">
        <f t="shared" si="119"/>
        <v>3332.3449606299209</v>
      </c>
      <c r="R74" s="533"/>
      <c r="S74" s="441" t="e">
        <f t="shared" si="120"/>
        <v>#REF!</v>
      </c>
      <c r="T74" s="441" t="e">
        <f t="shared" si="121"/>
        <v>#REF!</v>
      </c>
      <c r="U74" s="533"/>
      <c r="V74" s="441" t="e">
        <f>MAX(V$65:V$66)+IF($B$2="mil",1,0.0254)*DDR2Specs!$B$3</f>
        <v>#REF!</v>
      </c>
      <c r="W74" s="441" t="e">
        <f>MIN(V$65:V$66)+IF($B$2="mil",1,0.0254)*DDR2Specs!$C$3</f>
        <v>#REF!</v>
      </c>
      <c r="X74" s="18"/>
      <c r="Y74" s="534" t="e">
        <f t="shared" si="122"/>
        <v>#REF!</v>
      </c>
      <c r="Z74" s="447" t="e">
        <f t="shared" si="123"/>
        <v>#REF!</v>
      </c>
      <c r="AA74" s="18"/>
      <c r="AB74" s="441" t="e">
        <f>MAX(AB$65:AB$66)+IF($B$2="mil",1,0.0254)*DDR2Specs!$E$3</f>
        <v>#REF!</v>
      </c>
      <c r="AC74" s="441" t="e">
        <f>MIN(AB$65:AB$66)+IF($B$2="mil",1,0.0254)*DDR2Specs!$F$3</f>
        <v>#REF!</v>
      </c>
      <c r="AD74" s="18"/>
      <c r="AE74" s="534" t="e">
        <f t="shared" si="105"/>
        <v>#REF!</v>
      </c>
      <c r="AF74" s="447" t="e">
        <f t="shared" si="106"/>
        <v>#REF!</v>
      </c>
      <c r="AG74" s="447" t="e">
        <f t="shared" si="107"/>
        <v>#REF!</v>
      </c>
      <c r="AH74" s="447" t="e">
        <f t="shared" si="108"/>
        <v>#REF!</v>
      </c>
      <c r="AI74" s="447" t="e">
        <f t="shared" si="109"/>
        <v>#REF!</v>
      </c>
      <c r="AJ74" s="447" t="e">
        <f t="shared" ca="1" si="110"/>
        <v>#NAME?</v>
      </c>
      <c r="AK74" s="447" t="e">
        <f t="shared" si="124"/>
        <v>#REF!</v>
      </c>
      <c r="AL74" s="447" t="e">
        <f t="shared" si="125"/>
        <v>#REF!</v>
      </c>
      <c r="AM74" s="447" t="e">
        <f t="shared" ca="1" si="111"/>
        <v>#NAME?</v>
      </c>
      <c r="AN74" s="447" t="e">
        <f t="shared" ca="1" si="112"/>
        <v>#NAME?</v>
      </c>
      <c r="AO74" s="447" t="e">
        <f t="shared" si="113"/>
        <v>#REF!</v>
      </c>
      <c r="AP74" s="447" t="e">
        <f t="shared" si="114"/>
        <v>#REF!</v>
      </c>
      <c r="AQ74" s="447" t="e">
        <f t="shared" si="115"/>
        <v>#REF!</v>
      </c>
      <c r="AR74" s="447" t="e">
        <f t="shared" si="116"/>
        <v>#REF!</v>
      </c>
      <c r="AS74" s="18"/>
      <c r="AT74" s="2" t="e">
        <f t="shared" ca="1" si="117"/>
        <v>#REF!</v>
      </c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</row>
    <row r="75" spans="1:62" x14ac:dyDescent="0.2">
      <c r="A75" s="92" t="s">
        <v>221</v>
      </c>
      <c r="B75" s="437" t="s">
        <v>393</v>
      </c>
      <c r="C75" s="584">
        <v>583.81889763779532</v>
      </c>
      <c r="D75" s="16"/>
      <c r="E75" s="17">
        <v>29.7</v>
      </c>
      <c r="F75" s="17">
        <v>0</v>
      </c>
      <c r="G75" s="393">
        <v>2099.73</v>
      </c>
      <c r="H75" s="271">
        <v>64.569999999999993</v>
      </c>
      <c r="I75" s="17">
        <v>0</v>
      </c>
      <c r="J75" s="271">
        <v>49.57</v>
      </c>
      <c r="K75" s="17">
        <v>40</v>
      </c>
      <c r="L75" s="271">
        <v>85.78</v>
      </c>
      <c r="M75" s="271">
        <v>1104.3499999999999</v>
      </c>
      <c r="N75" s="271">
        <v>38</v>
      </c>
      <c r="O75" s="58"/>
      <c r="P75" s="441">
        <f t="shared" si="118"/>
        <v>2194</v>
      </c>
      <c r="Q75" s="441">
        <f t="shared" si="119"/>
        <v>3447.13</v>
      </c>
      <c r="R75" s="533"/>
      <c r="S75" s="441" t="e">
        <f t="shared" si="120"/>
        <v>#REF!</v>
      </c>
      <c r="T75" s="441" t="e">
        <f t="shared" si="121"/>
        <v>#REF!</v>
      </c>
      <c r="U75" s="533"/>
      <c r="V75" s="441" t="e">
        <f>MAX(V$65:V$66)+IF($B$2="mil",1,0.0254)*DDR2Specs!$B$3</f>
        <v>#REF!</v>
      </c>
      <c r="W75" s="441" t="e">
        <f>MIN(V$65:V$66)+IF($B$2="mil",1,0.0254)*DDR2Specs!$C$3</f>
        <v>#REF!</v>
      </c>
      <c r="X75" s="18"/>
      <c r="Y75" s="534" t="e">
        <f t="shared" si="122"/>
        <v>#REF!</v>
      </c>
      <c r="Z75" s="447" t="e">
        <f t="shared" si="123"/>
        <v>#REF!</v>
      </c>
      <c r="AA75" s="18"/>
      <c r="AB75" s="441" t="e">
        <f>MAX(AB$65:AB$66)+IF($B$2="mil",1,0.0254)*DDR2Specs!$E$3</f>
        <v>#REF!</v>
      </c>
      <c r="AC75" s="441" t="e">
        <f>MIN(AB$65:AB$66)+IF($B$2="mil",1,0.0254)*DDR2Specs!$F$3</f>
        <v>#REF!</v>
      </c>
      <c r="AD75" s="18"/>
      <c r="AE75" s="534" t="e">
        <f t="shared" si="105"/>
        <v>#REF!</v>
      </c>
      <c r="AF75" s="447" t="e">
        <f t="shared" si="106"/>
        <v>#REF!</v>
      </c>
      <c r="AG75" s="447" t="e">
        <f t="shared" si="107"/>
        <v>#REF!</v>
      </c>
      <c r="AH75" s="447" t="e">
        <f t="shared" si="108"/>
        <v>#REF!</v>
      </c>
      <c r="AI75" s="447" t="e">
        <f t="shared" si="109"/>
        <v>#REF!</v>
      </c>
      <c r="AJ75" s="447" t="e">
        <f t="shared" ca="1" si="110"/>
        <v>#NAME?</v>
      </c>
      <c r="AK75" s="447" t="e">
        <f t="shared" si="124"/>
        <v>#REF!</v>
      </c>
      <c r="AL75" s="447" t="e">
        <f t="shared" si="125"/>
        <v>#REF!</v>
      </c>
      <c r="AM75" s="447" t="e">
        <f t="shared" ca="1" si="111"/>
        <v>#NAME?</v>
      </c>
      <c r="AN75" s="447" t="e">
        <f t="shared" ca="1" si="112"/>
        <v>#NAME?</v>
      </c>
      <c r="AO75" s="447" t="e">
        <f t="shared" si="113"/>
        <v>#REF!</v>
      </c>
      <c r="AP75" s="447" t="e">
        <f t="shared" si="114"/>
        <v>#REF!</v>
      </c>
      <c r="AQ75" s="447" t="e">
        <f t="shared" si="115"/>
        <v>#REF!</v>
      </c>
      <c r="AR75" s="447" t="e">
        <f t="shared" si="116"/>
        <v>#REF!</v>
      </c>
      <c r="AS75" s="18"/>
      <c r="AT75" s="2" t="e">
        <f t="shared" ca="1" si="117"/>
        <v>#REF!</v>
      </c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</row>
    <row r="76" spans="1:62" x14ac:dyDescent="0.2">
      <c r="A76" s="94" t="s">
        <v>251</v>
      </c>
      <c r="B76" s="438"/>
      <c r="C76" s="585"/>
      <c r="D76" s="51"/>
      <c r="E76" s="68"/>
      <c r="F76" s="68"/>
      <c r="G76" s="394"/>
      <c r="H76" s="265"/>
      <c r="I76" s="265"/>
      <c r="J76" s="265"/>
      <c r="K76" s="265"/>
      <c r="L76" s="265"/>
      <c r="M76" s="265"/>
      <c r="N76" s="265"/>
      <c r="O76" s="8"/>
      <c r="P76" s="68"/>
      <c r="Q76" s="68"/>
      <c r="R76" s="68"/>
      <c r="S76" s="539"/>
      <c r="T76" s="539"/>
      <c r="U76" s="539"/>
      <c r="V76" s="539"/>
      <c r="W76" s="540"/>
      <c r="X76" s="540"/>
      <c r="Y76" s="541"/>
      <c r="Z76" s="15"/>
      <c r="AA76" s="540"/>
      <c r="AB76" s="539"/>
      <c r="AC76" s="540"/>
      <c r="AD76" s="540"/>
      <c r="AE76" s="541"/>
      <c r="AF76" s="15"/>
      <c r="AG76" s="15"/>
      <c r="AH76" s="15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69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</row>
    <row r="77" spans="1:62" x14ac:dyDescent="0.2">
      <c r="A77" s="103" t="str">
        <f>'DDR2 Strobes - 1x16'!$A$28</f>
        <v>SA_DQS6</v>
      </c>
      <c r="B77" s="439" t="str">
        <f>'DDR2 Strobes - 1x16'!$B$28</f>
        <v>AB14</v>
      </c>
      <c r="C77" s="586"/>
      <c r="D77" s="44"/>
      <c r="E77" s="67"/>
      <c r="F77" s="67"/>
      <c r="G77" s="395"/>
      <c r="H77" s="266"/>
      <c r="I77" s="266"/>
      <c r="J77" s="266"/>
      <c r="K77" s="266"/>
      <c r="L77" s="266"/>
      <c r="M77" s="266"/>
      <c r="N77" s="266"/>
      <c r="O77" s="67"/>
      <c r="P77" s="67"/>
      <c r="Q77" s="67"/>
      <c r="R77" s="67"/>
      <c r="S77" s="48"/>
      <c r="T77" s="48"/>
      <c r="U77" s="48"/>
      <c r="V77" s="48" t="e">
        <f>'DDR2 Strobes - 1x16'!$S$28</f>
        <v>#REF!</v>
      </c>
      <c r="W77" s="48"/>
      <c r="X77" s="48"/>
      <c r="Y77" s="48"/>
      <c r="Z77" s="542"/>
      <c r="AA77" s="48"/>
      <c r="AB77" s="48" t="e">
        <f>'DDR2 Strobes - 1x16'!$T$28</f>
        <v>#REF!</v>
      </c>
      <c r="AC77" s="48"/>
      <c r="AD77" s="48"/>
      <c r="AE77" s="48"/>
      <c r="AF77" s="542"/>
      <c r="AG77" s="542"/>
      <c r="AH77" s="542"/>
      <c r="AI77" s="542"/>
      <c r="AJ77" s="542"/>
      <c r="AK77" s="542"/>
      <c r="AL77" s="542"/>
      <c r="AM77" s="542"/>
      <c r="AN77" s="542"/>
      <c r="AO77" s="542"/>
      <c r="AP77" s="542"/>
      <c r="AQ77" s="542"/>
      <c r="AR77" s="542"/>
      <c r="AS77" s="48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</row>
    <row r="78" spans="1:62" x14ac:dyDescent="0.2">
      <c r="A78" s="103" t="str">
        <f>'DDR2 Strobes - 1x16'!$A$29</f>
        <v>SA_DQS6#</v>
      </c>
      <c r="B78" s="439" t="str">
        <f>'DDR2 Strobes - 1x16'!$B$29</f>
        <v>AB13</v>
      </c>
      <c r="C78" s="586"/>
      <c r="D78" s="44"/>
      <c r="E78" s="67"/>
      <c r="F78" s="67"/>
      <c r="G78" s="395"/>
      <c r="H78" s="266"/>
      <c r="I78" s="266"/>
      <c r="J78" s="266"/>
      <c r="K78" s="266"/>
      <c r="L78" s="266"/>
      <c r="M78" s="266"/>
      <c r="N78" s="266"/>
      <c r="O78" s="67"/>
      <c r="P78" s="67"/>
      <c r="Q78" s="536"/>
      <c r="R78" s="536"/>
      <c r="S78" s="537"/>
      <c r="T78" s="537"/>
      <c r="U78" s="48"/>
      <c r="V78" s="48" t="e">
        <f>'DDR2 Strobes - 1x16'!$S$29</f>
        <v>#REF!</v>
      </c>
      <c r="W78" s="48"/>
      <c r="X78" s="48"/>
      <c r="Y78" s="48"/>
      <c r="Z78" s="542"/>
      <c r="AA78" s="48"/>
      <c r="AB78" s="48" t="e">
        <f>'DDR2 Strobes - 1x16'!$T$29</f>
        <v>#REF!</v>
      </c>
      <c r="AC78" s="48"/>
      <c r="AD78" s="48"/>
      <c r="AE78" s="48"/>
      <c r="AF78" s="542"/>
      <c r="AG78" s="542"/>
      <c r="AH78" s="542"/>
      <c r="AI78" s="543"/>
      <c r="AJ78" s="543"/>
      <c r="AK78" s="543"/>
      <c r="AL78" s="543"/>
      <c r="AM78" s="543"/>
      <c r="AN78" s="543"/>
      <c r="AO78" s="543"/>
      <c r="AP78" s="543"/>
      <c r="AQ78" s="543"/>
      <c r="AR78" s="543"/>
      <c r="AS78" s="48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</row>
    <row r="79" spans="1:62" x14ac:dyDescent="0.2">
      <c r="A79" s="92" t="s">
        <v>222</v>
      </c>
      <c r="B79" s="434" t="s">
        <v>534</v>
      </c>
      <c r="C79" s="584">
        <v>846.81102362204729</v>
      </c>
      <c r="D79" s="16"/>
      <c r="E79" s="17">
        <v>29.7</v>
      </c>
      <c r="F79" s="17">
        <v>0</v>
      </c>
      <c r="G79" s="393">
        <v>1595.812913385827</v>
      </c>
      <c r="H79" s="271">
        <v>71.39</v>
      </c>
      <c r="I79" s="17">
        <v>0</v>
      </c>
      <c r="J79" s="271">
        <v>56.33</v>
      </c>
      <c r="K79" s="17">
        <v>40</v>
      </c>
      <c r="L79" s="271">
        <v>50.78</v>
      </c>
      <c r="M79" s="271">
        <v>1140.73</v>
      </c>
      <c r="N79" s="271">
        <v>75.67</v>
      </c>
      <c r="O79" s="58"/>
      <c r="P79" s="441">
        <f xml:space="preserve"> E79+F79+G79+H79</f>
        <v>1696.9029133858271</v>
      </c>
      <c r="Q79" s="441">
        <f>SUM(E79:G79,I79:N79)</f>
        <v>2989.022913385827</v>
      </c>
      <c r="R79" s="533"/>
      <c r="S79" s="441" t="e">
        <f>P79+IF($B$2="mil",1,0.0254)*C79</f>
        <v>#REF!</v>
      </c>
      <c r="T79" s="441" t="e">
        <f>Q79+IF($B$2="mil",1,0.0254)*C79</f>
        <v>#REF!</v>
      </c>
      <c r="U79" s="533"/>
      <c r="V79" s="441" t="e">
        <f>MAX(V$77:V$78)+IF($B$2="mil",1,0.0254)*DDR2Specs!$B$3</f>
        <v>#REF!</v>
      </c>
      <c r="W79" s="441" t="e">
        <f>MIN(V$77:V$78)+IF($B$2="mil",1,0.0254)*DDR2Specs!$C$3</f>
        <v>#REF!</v>
      </c>
      <c r="X79" s="18"/>
      <c r="Y79" s="534" t="e">
        <f>IF($S79&lt;$V79,$V79-$S79,"Pass")</f>
        <v>#REF!</v>
      </c>
      <c r="Z79" s="447" t="e">
        <f>IF($S79&gt;$W79,$S79-$W79,"Pass")</f>
        <v>#REF!</v>
      </c>
      <c r="AA79" s="18"/>
      <c r="AB79" s="441" t="e">
        <f>MAX(AB$77:AB$78)+IF($B$2="mil",1,0.0254)*DDR2Specs!$E$3</f>
        <v>#REF!</v>
      </c>
      <c r="AC79" s="441" t="e">
        <f>MIN(AB$77:AB$78)+IF($B$2="mil",1,0.0254)*DDR2Specs!$F$3</f>
        <v>#REF!</v>
      </c>
      <c r="AD79" s="18"/>
      <c r="AE79" s="534" t="e">
        <f t="shared" ref="AE79:AE87" si="126">IF($T79&lt;$AB79,$AB79-$T79,"Pass")</f>
        <v>#REF!</v>
      </c>
      <c r="AF79" s="447" t="e">
        <f t="shared" ref="AF79:AF87" si="127">IF($T79&gt;$AC79,$T79-$AC79,"Pass")</f>
        <v>#REF!</v>
      </c>
      <c r="AG79" s="447" t="e">
        <f t="shared" ref="AG79:AG87" si="128">IF($E79&lt;=IF($B$2="mil",1,0.0254)*50,"Pass",IF($B$2="mil",1,0.0254)*50-$E79)</f>
        <v>#REF!</v>
      </c>
      <c r="AH79" s="447" t="e">
        <f t="shared" ref="AH79:AH87" si="129">IF($F79&lt;=IF($B$2="mil",1,0.0254)*500,"Pass",IF($B$2="mil",1,0.0254)*500-$F79)</f>
        <v>#REF!</v>
      </c>
      <c r="AI79" s="447" t="e">
        <f t="shared" ref="AI79:AI87" si="130">IF($H79&lt;=IF($B$2="mil",1,0.0254)*250,"Pass",IF($B$2="mil",1,0.0254)*250-$H79)</f>
        <v>#REF!</v>
      </c>
      <c r="AJ79" s="447" t="e">
        <f t="shared" ref="AJ79:AJ87" ca="1" si="131">CheckLength(IF($B$2="mil",1,0.0254)*1125, IF($B$2="mil",1,0.0254)*125-J79, 0, I79,J79,0)</f>
        <v>#NAME?</v>
      </c>
      <c r="AK79" s="447" t="e">
        <f>IF($J79&lt;=IF($B$2="mil",1,0.0254)*125,"Pass",IF($B$2="mil",1,0.0254)*125-$J79)</f>
        <v>#REF!</v>
      </c>
      <c r="AL79" s="447" t="e">
        <f>IF($L79&lt;=IF($B$2="mil",1,0.0254)*125,"Pass",IF($B$2="mil",1,0.0254)*125-$L79)</f>
        <v>#REF!</v>
      </c>
      <c r="AM79" s="447" t="e">
        <f t="shared" ref="AM79:AM87" ca="1" si="132">CheckLength(IF($B$2="mil",1,0.0254)*1525, IF($B$2="mil",1,0.0254)*125-L79, IF($B$2="mil",1,0.0254)*150-N79, M79,L79,N79)</f>
        <v>#NAME?</v>
      </c>
      <c r="AN79" s="447" t="e">
        <f t="shared" ref="AN79:AN87" ca="1" si="133">CheckLength2(IF($B$2="mil",1,0.0254)*1400,M79,N79,0)</f>
        <v>#NAME?</v>
      </c>
      <c r="AO79" s="447" t="e">
        <f t="shared" ref="AO79:AO87" si="134">IF(AND($P79&gt;=IF($B$2="mil",1,0.0254)*500, $P79&lt;=IF($B$2="mil",1,0.0254)*4000),"Pass",IF($B$2="mil",1,0.0254)*4000-$P79)</f>
        <v>#REF!</v>
      </c>
      <c r="AP79" s="447" t="e">
        <f t="shared" ref="AP79:AP87" si="135">IF(AND($S79&gt;=IF($B$2="mil",1,0.0254)*500, $S79&lt;=IF($B$2="mil",1,0.0254)*4500),"Pass",IF($B$2="mil",1,0.0254)*4500-$S79)</f>
        <v>#REF!</v>
      </c>
      <c r="AQ79" s="447" t="e">
        <f t="shared" ref="AQ79:AQ87" si="136">IF(AND($Q79&gt;=IF($B$2="mil",1,0.0254)*500, $Q79&lt;=IF($B$2="mil",1,0.0254)*5500),"Pass",IF($B$2="mil",1,0.0254)*5500-$Q79)</f>
        <v>#REF!</v>
      </c>
      <c r="AR79" s="447" t="e">
        <f t="shared" ref="AR79:AR87" si="137">IF(AND($T79&gt;=IF($B$2="mil",1,0.0254)*500, $T79&lt;=IF($B$2="mil",1,0.0254)*6000),"Pass",IF($B$2="mil",1,0.0254)*6000-$T79)</f>
        <v>#REF!</v>
      </c>
      <c r="AS79" s="18"/>
      <c r="AT79" s="2" t="e">
        <f t="shared" ref="AT79:AT87" ca="1" si="138">IF(AND(AG79="Pass",AP79="Pass",AI79="Pass",AH79="Pass",AO79="Pass",Y79="Pass",Z79="Pass",AN79="Pass",AM79="Pass",AL79="Pass",AK79="Pass",AJ79="Pass",AE79="Pass",AF79="Pass",AQ79="Pass",AR79="Pass"),"Pass","Fail")</f>
        <v>#REF!</v>
      </c>
      <c r="AU79" s="2" t="e">
        <f ca="1">IF(AND(AT79="Pass",AT80="Pass",AT81="Pass",AT82="Pass",AT83="Pass",AT84="Pass",AT85="Pass",AT86="Pass",AT87="Pass"),"Pass","Fail")</f>
        <v>#REF!</v>
      </c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</row>
    <row r="80" spans="1:62" x14ac:dyDescent="0.2">
      <c r="A80" s="92" t="s">
        <v>223</v>
      </c>
      <c r="B80" s="433" t="s">
        <v>535</v>
      </c>
      <c r="C80" s="584">
        <v>749.48818897637796</v>
      </c>
      <c r="D80" s="16"/>
      <c r="E80" s="17">
        <v>29.7</v>
      </c>
      <c r="F80" s="17">
        <v>0</v>
      </c>
      <c r="G80" s="393">
        <v>1545.5221259842519</v>
      </c>
      <c r="H80" s="271">
        <v>107.98</v>
      </c>
      <c r="I80" s="17">
        <v>0</v>
      </c>
      <c r="J80" s="271">
        <v>99.62</v>
      </c>
      <c r="K80" s="17">
        <v>40</v>
      </c>
      <c r="L80" s="271">
        <v>46.81</v>
      </c>
      <c r="M80" s="271">
        <v>1137.98</v>
      </c>
      <c r="N80" s="271">
        <v>75.849999999999994</v>
      </c>
      <c r="O80" s="58"/>
      <c r="P80" s="441">
        <f t="shared" ref="P80:P87" si="139" xml:space="preserve"> E80+F80+G80+H80</f>
        <v>1683.202125984252</v>
      </c>
      <c r="Q80" s="441">
        <f t="shared" ref="Q80:Q87" si="140">SUM(E80:G80,I80:N80)</f>
        <v>2975.482125984252</v>
      </c>
      <c r="R80" s="533"/>
      <c r="S80" s="441" t="e">
        <f t="shared" ref="S80:S87" si="141">P80+IF($B$2="mil",1,0.0254)*C80</f>
        <v>#REF!</v>
      </c>
      <c r="T80" s="441" t="e">
        <f t="shared" ref="T80:T87" si="142">Q80+IF($B$2="mil",1,0.0254)*C80</f>
        <v>#REF!</v>
      </c>
      <c r="U80" s="533"/>
      <c r="V80" s="441" t="e">
        <f>MAX(V$77:V$78)+IF($B$2="mil",1,0.0254)*DDR2Specs!$B$3</f>
        <v>#REF!</v>
      </c>
      <c r="W80" s="441" t="e">
        <f>MIN(V$77:V$78)+IF($B$2="mil",1,0.0254)*DDR2Specs!$C$3</f>
        <v>#REF!</v>
      </c>
      <c r="X80" s="18"/>
      <c r="Y80" s="534" t="e">
        <f t="shared" ref="Y80:Y87" si="143">IF($S80&lt;$V80,$V80-$S80,"Pass")</f>
        <v>#REF!</v>
      </c>
      <c r="Z80" s="447" t="e">
        <f t="shared" ref="Z80:Z87" si="144">IF($S80&gt;$W80,$S80-$W80,"Pass")</f>
        <v>#REF!</v>
      </c>
      <c r="AA80" s="18"/>
      <c r="AB80" s="441" t="e">
        <f>MAX(AB$77:AB$78)+IF($B$2="mil",1,0.0254)*DDR2Specs!$E$3</f>
        <v>#REF!</v>
      </c>
      <c r="AC80" s="441" t="e">
        <f>MIN(AB$77:AB$78)+IF($B$2="mil",1,0.0254)*DDR2Specs!$F$3</f>
        <v>#REF!</v>
      </c>
      <c r="AD80" s="18"/>
      <c r="AE80" s="534" t="e">
        <f t="shared" si="126"/>
        <v>#REF!</v>
      </c>
      <c r="AF80" s="447" t="e">
        <f t="shared" si="127"/>
        <v>#REF!</v>
      </c>
      <c r="AG80" s="447" t="e">
        <f t="shared" si="128"/>
        <v>#REF!</v>
      </c>
      <c r="AH80" s="447" t="e">
        <f t="shared" si="129"/>
        <v>#REF!</v>
      </c>
      <c r="AI80" s="447" t="e">
        <f t="shared" si="130"/>
        <v>#REF!</v>
      </c>
      <c r="AJ80" s="447" t="e">
        <f t="shared" ca="1" si="131"/>
        <v>#NAME?</v>
      </c>
      <c r="AK80" s="447" t="e">
        <f t="shared" ref="AK80:AK87" si="145">IF($J80&lt;=IF($B$2="mil",1,0.0254)*125,"Pass",IF($B$2="mil",1,0.0254)*125-$J80)</f>
        <v>#REF!</v>
      </c>
      <c r="AL80" s="447" t="e">
        <f t="shared" ref="AL80:AL87" si="146">IF($L80&lt;=IF($B$2="mil",1,0.0254)*125,"Pass",IF($B$2="mil",1,0.0254)*125-$L80)</f>
        <v>#REF!</v>
      </c>
      <c r="AM80" s="447" t="e">
        <f t="shared" ca="1" si="132"/>
        <v>#NAME?</v>
      </c>
      <c r="AN80" s="447" t="e">
        <f t="shared" ca="1" si="133"/>
        <v>#NAME?</v>
      </c>
      <c r="AO80" s="447" t="e">
        <f t="shared" si="134"/>
        <v>#REF!</v>
      </c>
      <c r="AP80" s="447" t="e">
        <f t="shared" si="135"/>
        <v>#REF!</v>
      </c>
      <c r="AQ80" s="447" t="e">
        <f t="shared" si="136"/>
        <v>#REF!</v>
      </c>
      <c r="AR80" s="447" t="e">
        <f t="shared" si="137"/>
        <v>#REF!</v>
      </c>
      <c r="AS80" s="18"/>
      <c r="AT80" s="2" t="e">
        <f t="shared" ca="1" si="138"/>
        <v>#REF!</v>
      </c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</row>
    <row r="81" spans="1:62" x14ac:dyDescent="0.2">
      <c r="A81" s="92" t="s">
        <v>224</v>
      </c>
      <c r="B81" s="433" t="s">
        <v>161</v>
      </c>
      <c r="C81" s="584">
        <v>668.97637795275591</v>
      </c>
      <c r="D81" s="16"/>
      <c r="E81" s="17">
        <v>29.7</v>
      </c>
      <c r="F81" s="17">
        <v>0</v>
      </c>
      <c r="G81" s="393">
        <v>1760.0148818897642</v>
      </c>
      <c r="H81" s="271">
        <v>68.44</v>
      </c>
      <c r="I81" s="17">
        <v>0</v>
      </c>
      <c r="J81" s="271">
        <v>51.64</v>
      </c>
      <c r="K81" s="17">
        <v>40</v>
      </c>
      <c r="L81" s="271">
        <v>52.03</v>
      </c>
      <c r="M81" s="271">
        <v>1185.4100000000001</v>
      </c>
      <c r="N81" s="271">
        <v>31.51</v>
      </c>
      <c r="O81" s="58"/>
      <c r="P81" s="441">
        <f t="shared" si="139"/>
        <v>1858.1548818897643</v>
      </c>
      <c r="Q81" s="441">
        <f t="shared" si="140"/>
        <v>3150.3048818897646</v>
      </c>
      <c r="R81" s="533"/>
      <c r="S81" s="441" t="e">
        <f t="shared" si="141"/>
        <v>#REF!</v>
      </c>
      <c r="T81" s="441" t="e">
        <f t="shared" si="142"/>
        <v>#REF!</v>
      </c>
      <c r="U81" s="533"/>
      <c r="V81" s="441" t="e">
        <f>MAX(V$77:V$78)+IF($B$2="mil",1,0.0254)*DDR2Specs!$B$3</f>
        <v>#REF!</v>
      </c>
      <c r="W81" s="441" t="e">
        <f>MIN(V$77:V$78)+IF($B$2="mil",1,0.0254)*DDR2Specs!$C$3</f>
        <v>#REF!</v>
      </c>
      <c r="X81" s="18"/>
      <c r="Y81" s="534" t="e">
        <f t="shared" si="143"/>
        <v>#REF!</v>
      </c>
      <c r="Z81" s="447" t="e">
        <f t="shared" si="144"/>
        <v>#REF!</v>
      </c>
      <c r="AA81" s="18"/>
      <c r="AB81" s="441" t="e">
        <f>MAX(AB$77:AB$78)+IF($B$2="mil",1,0.0254)*DDR2Specs!$E$3</f>
        <v>#REF!</v>
      </c>
      <c r="AC81" s="441" t="e">
        <f>MIN(AB$77:AB$78)+IF($B$2="mil",1,0.0254)*DDR2Specs!$F$3</f>
        <v>#REF!</v>
      </c>
      <c r="AD81" s="18"/>
      <c r="AE81" s="534" t="e">
        <f t="shared" si="126"/>
        <v>#REF!</v>
      </c>
      <c r="AF81" s="447" t="e">
        <f t="shared" si="127"/>
        <v>#REF!</v>
      </c>
      <c r="AG81" s="447" t="e">
        <f t="shared" si="128"/>
        <v>#REF!</v>
      </c>
      <c r="AH81" s="447" t="e">
        <f t="shared" si="129"/>
        <v>#REF!</v>
      </c>
      <c r="AI81" s="447" t="e">
        <f t="shared" si="130"/>
        <v>#REF!</v>
      </c>
      <c r="AJ81" s="447" t="e">
        <f t="shared" ca="1" si="131"/>
        <v>#NAME?</v>
      </c>
      <c r="AK81" s="447" t="e">
        <f t="shared" si="145"/>
        <v>#REF!</v>
      </c>
      <c r="AL81" s="447" t="e">
        <f t="shared" si="146"/>
        <v>#REF!</v>
      </c>
      <c r="AM81" s="447" t="e">
        <f t="shared" ca="1" si="132"/>
        <v>#NAME?</v>
      </c>
      <c r="AN81" s="447" t="e">
        <f t="shared" ca="1" si="133"/>
        <v>#NAME?</v>
      </c>
      <c r="AO81" s="447" t="e">
        <f t="shared" si="134"/>
        <v>#REF!</v>
      </c>
      <c r="AP81" s="447" t="e">
        <f t="shared" si="135"/>
        <v>#REF!</v>
      </c>
      <c r="AQ81" s="447" t="e">
        <f t="shared" si="136"/>
        <v>#REF!</v>
      </c>
      <c r="AR81" s="447" t="e">
        <f t="shared" si="137"/>
        <v>#REF!</v>
      </c>
      <c r="AS81" s="18"/>
      <c r="AT81" s="2" t="e">
        <f t="shared" ca="1" si="138"/>
        <v>#REF!</v>
      </c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</row>
    <row r="82" spans="1:62" x14ac:dyDescent="0.2">
      <c r="A82" s="92" t="s">
        <v>225</v>
      </c>
      <c r="B82" s="433" t="s">
        <v>536</v>
      </c>
      <c r="C82" s="584">
        <v>678.50393700787413</v>
      </c>
      <c r="D82" s="16"/>
      <c r="E82" s="17">
        <v>29.7</v>
      </c>
      <c r="F82" s="17">
        <v>0</v>
      </c>
      <c r="G82" s="393">
        <v>1683.8304724409447</v>
      </c>
      <c r="H82" s="271">
        <v>109.9</v>
      </c>
      <c r="I82" s="17">
        <v>0</v>
      </c>
      <c r="J82" s="271">
        <v>90.78</v>
      </c>
      <c r="K82" s="17">
        <v>40</v>
      </c>
      <c r="L82" s="271">
        <v>87.86</v>
      </c>
      <c r="M82" s="271">
        <v>1153.5999999999999</v>
      </c>
      <c r="N82" s="271">
        <v>31.49</v>
      </c>
      <c r="O82" s="58"/>
      <c r="P82" s="441">
        <f t="shared" si="139"/>
        <v>1823.4304724409449</v>
      </c>
      <c r="Q82" s="441">
        <f t="shared" si="140"/>
        <v>3117.2604724409443</v>
      </c>
      <c r="R82" s="533"/>
      <c r="S82" s="441" t="e">
        <f t="shared" si="141"/>
        <v>#REF!</v>
      </c>
      <c r="T82" s="441" t="e">
        <f t="shared" si="142"/>
        <v>#REF!</v>
      </c>
      <c r="U82" s="533"/>
      <c r="V82" s="441" t="e">
        <f>MAX(V$77:V$78)+IF($B$2="mil",1,0.0254)*DDR2Specs!$B$3</f>
        <v>#REF!</v>
      </c>
      <c r="W82" s="441" t="e">
        <f>MIN(V$77:V$78)+IF($B$2="mil",1,0.0254)*DDR2Specs!$C$3</f>
        <v>#REF!</v>
      </c>
      <c r="X82" s="18"/>
      <c r="Y82" s="534" t="e">
        <f t="shared" si="143"/>
        <v>#REF!</v>
      </c>
      <c r="Z82" s="447" t="e">
        <f t="shared" si="144"/>
        <v>#REF!</v>
      </c>
      <c r="AA82" s="18"/>
      <c r="AB82" s="441" t="e">
        <f>MAX(AB$77:AB$78)+IF($B$2="mil",1,0.0254)*DDR2Specs!$E$3</f>
        <v>#REF!</v>
      </c>
      <c r="AC82" s="441" t="e">
        <f>MIN(AB$77:AB$78)+IF($B$2="mil",1,0.0254)*DDR2Specs!$F$3</f>
        <v>#REF!</v>
      </c>
      <c r="AD82" s="18"/>
      <c r="AE82" s="534" t="e">
        <f t="shared" si="126"/>
        <v>#REF!</v>
      </c>
      <c r="AF82" s="447" t="e">
        <f t="shared" si="127"/>
        <v>#REF!</v>
      </c>
      <c r="AG82" s="447" t="e">
        <f t="shared" si="128"/>
        <v>#REF!</v>
      </c>
      <c r="AH82" s="447" t="e">
        <f t="shared" si="129"/>
        <v>#REF!</v>
      </c>
      <c r="AI82" s="447" t="e">
        <f t="shared" si="130"/>
        <v>#REF!</v>
      </c>
      <c r="AJ82" s="447" t="e">
        <f t="shared" ca="1" si="131"/>
        <v>#NAME?</v>
      </c>
      <c r="AK82" s="447" t="e">
        <f t="shared" si="145"/>
        <v>#REF!</v>
      </c>
      <c r="AL82" s="447" t="e">
        <f t="shared" si="146"/>
        <v>#REF!</v>
      </c>
      <c r="AM82" s="447" t="e">
        <f t="shared" ca="1" si="132"/>
        <v>#NAME?</v>
      </c>
      <c r="AN82" s="447" t="e">
        <f t="shared" ca="1" si="133"/>
        <v>#NAME?</v>
      </c>
      <c r="AO82" s="447" t="e">
        <f t="shared" si="134"/>
        <v>#REF!</v>
      </c>
      <c r="AP82" s="447" t="e">
        <f t="shared" si="135"/>
        <v>#REF!</v>
      </c>
      <c r="AQ82" s="447" t="e">
        <f t="shared" si="136"/>
        <v>#REF!</v>
      </c>
      <c r="AR82" s="447" t="e">
        <f t="shared" si="137"/>
        <v>#REF!</v>
      </c>
      <c r="AS82" s="18"/>
      <c r="AT82" s="2" t="e">
        <f t="shared" ca="1" si="138"/>
        <v>#REF!</v>
      </c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</row>
    <row r="83" spans="1:62" x14ac:dyDescent="0.2">
      <c r="A83" s="92" t="s">
        <v>226</v>
      </c>
      <c r="B83" s="433" t="s">
        <v>537</v>
      </c>
      <c r="C83" s="584">
        <v>794.01574803149606</v>
      </c>
      <c r="D83" s="16"/>
      <c r="E83" s="17">
        <v>29.7</v>
      </c>
      <c r="F83" s="17">
        <v>0</v>
      </c>
      <c r="G83" s="393">
        <v>1686.2762992125979</v>
      </c>
      <c r="H83" s="271">
        <v>75.84</v>
      </c>
      <c r="I83" s="17">
        <v>0</v>
      </c>
      <c r="J83" s="271">
        <v>57.88</v>
      </c>
      <c r="K83" s="17">
        <v>40</v>
      </c>
      <c r="L83" s="271">
        <v>89.93</v>
      </c>
      <c r="M83" s="271">
        <v>1111.2</v>
      </c>
      <c r="N83" s="271">
        <v>74</v>
      </c>
      <c r="O83" s="58"/>
      <c r="P83" s="441">
        <f t="shared" si="139"/>
        <v>1791.8162992125979</v>
      </c>
      <c r="Q83" s="441">
        <f t="shared" si="140"/>
        <v>3088.9862992125982</v>
      </c>
      <c r="R83" s="533"/>
      <c r="S83" s="441" t="e">
        <f t="shared" si="141"/>
        <v>#REF!</v>
      </c>
      <c r="T83" s="441" t="e">
        <f t="shared" si="142"/>
        <v>#REF!</v>
      </c>
      <c r="U83" s="533"/>
      <c r="V83" s="441" t="e">
        <f>MAX(V$77:V$78)+IF($B$2="mil",1,0.0254)*DDR2Specs!$B$3</f>
        <v>#REF!</v>
      </c>
      <c r="W83" s="441" t="e">
        <f>MIN(V$77:V$78)+IF($B$2="mil",1,0.0254)*DDR2Specs!$C$3</f>
        <v>#REF!</v>
      </c>
      <c r="X83" s="18"/>
      <c r="Y83" s="534" t="e">
        <f t="shared" si="143"/>
        <v>#REF!</v>
      </c>
      <c r="Z83" s="447" t="e">
        <f t="shared" si="144"/>
        <v>#REF!</v>
      </c>
      <c r="AA83" s="18"/>
      <c r="AB83" s="441" t="e">
        <f>MAX(AB$77:AB$78)+IF($B$2="mil",1,0.0254)*DDR2Specs!$E$3</f>
        <v>#REF!</v>
      </c>
      <c r="AC83" s="441" t="e">
        <f>MIN(AB$77:AB$78)+IF($B$2="mil",1,0.0254)*DDR2Specs!$F$3</f>
        <v>#REF!</v>
      </c>
      <c r="AD83" s="18"/>
      <c r="AE83" s="534" t="e">
        <f t="shared" si="126"/>
        <v>#REF!</v>
      </c>
      <c r="AF83" s="447" t="e">
        <f t="shared" si="127"/>
        <v>#REF!</v>
      </c>
      <c r="AG83" s="447" t="e">
        <f t="shared" si="128"/>
        <v>#REF!</v>
      </c>
      <c r="AH83" s="447" t="e">
        <f t="shared" si="129"/>
        <v>#REF!</v>
      </c>
      <c r="AI83" s="447" t="e">
        <f t="shared" si="130"/>
        <v>#REF!</v>
      </c>
      <c r="AJ83" s="447" t="e">
        <f t="shared" ca="1" si="131"/>
        <v>#NAME?</v>
      </c>
      <c r="AK83" s="447" t="e">
        <f t="shared" si="145"/>
        <v>#REF!</v>
      </c>
      <c r="AL83" s="447" t="e">
        <f t="shared" si="146"/>
        <v>#REF!</v>
      </c>
      <c r="AM83" s="447" t="e">
        <f t="shared" ca="1" si="132"/>
        <v>#NAME?</v>
      </c>
      <c r="AN83" s="447" t="e">
        <f t="shared" ca="1" si="133"/>
        <v>#NAME?</v>
      </c>
      <c r="AO83" s="447" t="e">
        <f t="shared" si="134"/>
        <v>#REF!</v>
      </c>
      <c r="AP83" s="447" t="e">
        <f t="shared" si="135"/>
        <v>#REF!</v>
      </c>
      <c r="AQ83" s="447" t="e">
        <f t="shared" si="136"/>
        <v>#REF!</v>
      </c>
      <c r="AR83" s="447" t="e">
        <f t="shared" si="137"/>
        <v>#REF!</v>
      </c>
      <c r="AS83" s="18"/>
      <c r="AT83" s="2" t="e">
        <f t="shared" ca="1" si="138"/>
        <v>#REF!</v>
      </c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</row>
    <row r="84" spans="1:62" x14ac:dyDescent="0.2">
      <c r="A84" s="92" t="s">
        <v>227</v>
      </c>
      <c r="B84" s="433" t="s">
        <v>394</v>
      </c>
      <c r="C84" s="584">
        <v>766.88976377952758</v>
      </c>
      <c r="D84" s="16"/>
      <c r="E84" s="17">
        <v>29.7</v>
      </c>
      <c r="F84" s="17">
        <v>0</v>
      </c>
      <c r="G84" s="393">
        <v>1663.8223622047242</v>
      </c>
      <c r="H84" s="271">
        <v>114.79</v>
      </c>
      <c r="I84" s="17">
        <v>0</v>
      </c>
      <c r="J84" s="271">
        <v>105.62</v>
      </c>
      <c r="K84" s="17">
        <v>40</v>
      </c>
      <c r="L84" s="271">
        <v>89.93</v>
      </c>
      <c r="M84" s="271">
        <v>1100.3800000000001</v>
      </c>
      <c r="N84" s="271">
        <v>75.959999999999994</v>
      </c>
      <c r="O84" s="58"/>
      <c r="P84" s="441">
        <f t="shared" si="139"/>
        <v>1808.3123622047242</v>
      </c>
      <c r="Q84" s="441">
        <f t="shared" si="140"/>
        <v>3105.4123622047246</v>
      </c>
      <c r="R84" s="533"/>
      <c r="S84" s="441" t="e">
        <f t="shared" si="141"/>
        <v>#REF!</v>
      </c>
      <c r="T84" s="441" t="e">
        <f t="shared" si="142"/>
        <v>#REF!</v>
      </c>
      <c r="U84" s="533"/>
      <c r="V84" s="441" t="e">
        <f>MAX(V$77:V$78)+IF($B$2="mil",1,0.0254)*DDR2Specs!$B$3</f>
        <v>#REF!</v>
      </c>
      <c r="W84" s="441" t="e">
        <f>MIN(V$77:V$78)+IF($B$2="mil",1,0.0254)*DDR2Specs!$C$3</f>
        <v>#REF!</v>
      </c>
      <c r="X84" s="18"/>
      <c r="Y84" s="534" t="e">
        <f t="shared" si="143"/>
        <v>#REF!</v>
      </c>
      <c r="Z84" s="447" t="e">
        <f t="shared" si="144"/>
        <v>#REF!</v>
      </c>
      <c r="AA84" s="18"/>
      <c r="AB84" s="441" t="e">
        <f>MAX(AB$77:AB$78)+IF($B$2="mil",1,0.0254)*DDR2Specs!$E$3</f>
        <v>#REF!</v>
      </c>
      <c r="AC84" s="441" t="e">
        <f>MIN(AB$77:AB$78)+IF($B$2="mil",1,0.0254)*DDR2Specs!$F$3</f>
        <v>#REF!</v>
      </c>
      <c r="AD84" s="18"/>
      <c r="AE84" s="534" t="e">
        <f t="shared" si="126"/>
        <v>#REF!</v>
      </c>
      <c r="AF84" s="447" t="e">
        <f t="shared" si="127"/>
        <v>#REF!</v>
      </c>
      <c r="AG84" s="447" t="e">
        <f t="shared" si="128"/>
        <v>#REF!</v>
      </c>
      <c r="AH84" s="447" t="e">
        <f t="shared" si="129"/>
        <v>#REF!</v>
      </c>
      <c r="AI84" s="447" t="e">
        <f t="shared" si="130"/>
        <v>#REF!</v>
      </c>
      <c r="AJ84" s="447" t="e">
        <f t="shared" ca="1" si="131"/>
        <v>#NAME?</v>
      </c>
      <c r="AK84" s="447" t="e">
        <f t="shared" si="145"/>
        <v>#REF!</v>
      </c>
      <c r="AL84" s="447" t="e">
        <f t="shared" si="146"/>
        <v>#REF!</v>
      </c>
      <c r="AM84" s="447" t="e">
        <f t="shared" ca="1" si="132"/>
        <v>#NAME?</v>
      </c>
      <c r="AN84" s="447" t="e">
        <f t="shared" ca="1" si="133"/>
        <v>#NAME?</v>
      </c>
      <c r="AO84" s="447" t="e">
        <f t="shared" si="134"/>
        <v>#REF!</v>
      </c>
      <c r="AP84" s="447" t="e">
        <f t="shared" si="135"/>
        <v>#REF!</v>
      </c>
      <c r="AQ84" s="447" t="e">
        <f t="shared" si="136"/>
        <v>#REF!</v>
      </c>
      <c r="AR84" s="447" t="e">
        <f t="shared" si="137"/>
        <v>#REF!</v>
      </c>
      <c r="AS84" s="18"/>
      <c r="AT84" s="2" t="e">
        <f t="shared" ca="1" si="138"/>
        <v>#REF!</v>
      </c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</row>
    <row r="85" spans="1:62" x14ac:dyDescent="0.2">
      <c r="A85" s="92" t="s">
        <v>228</v>
      </c>
      <c r="B85" s="433" t="s">
        <v>538</v>
      </c>
      <c r="C85" s="584">
        <v>662.00787401574814</v>
      </c>
      <c r="D85" s="16"/>
      <c r="E85" s="17">
        <v>29.7</v>
      </c>
      <c r="F85" s="17">
        <v>0</v>
      </c>
      <c r="G85" s="393">
        <v>1731.2823622047242</v>
      </c>
      <c r="H85" s="271">
        <v>97.33</v>
      </c>
      <c r="I85" s="17">
        <v>0</v>
      </c>
      <c r="J85" s="271">
        <v>52.5</v>
      </c>
      <c r="K85" s="17">
        <v>40</v>
      </c>
      <c r="L85" s="271">
        <v>115.06</v>
      </c>
      <c r="M85" s="271">
        <v>1104.03</v>
      </c>
      <c r="N85" s="271">
        <v>75.67</v>
      </c>
      <c r="O85" s="58"/>
      <c r="P85" s="441">
        <f t="shared" si="139"/>
        <v>1858.3123622047242</v>
      </c>
      <c r="Q85" s="441">
        <f t="shared" si="140"/>
        <v>3148.2423622047245</v>
      </c>
      <c r="R85" s="533"/>
      <c r="S85" s="441" t="e">
        <f t="shared" si="141"/>
        <v>#REF!</v>
      </c>
      <c r="T85" s="441" t="e">
        <f t="shared" si="142"/>
        <v>#REF!</v>
      </c>
      <c r="U85" s="533"/>
      <c r="V85" s="441" t="e">
        <f>MAX(V$77:V$78)+IF($B$2="mil",1,0.0254)*DDR2Specs!$B$3</f>
        <v>#REF!</v>
      </c>
      <c r="W85" s="441" t="e">
        <f>MIN(V$77:V$78)+IF($B$2="mil",1,0.0254)*DDR2Specs!$C$3</f>
        <v>#REF!</v>
      </c>
      <c r="X85" s="18"/>
      <c r="Y85" s="534" t="e">
        <f t="shared" si="143"/>
        <v>#REF!</v>
      </c>
      <c r="Z85" s="447" t="e">
        <f t="shared" si="144"/>
        <v>#REF!</v>
      </c>
      <c r="AA85" s="18"/>
      <c r="AB85" s="441" t="e">
        <f>MAX(AB$77:AB$78)+IF($B$2="mil",1,0.0254)*DDR2Specs!$E$3</f>
        <v>#REF!</v>
      </c>
      <c r="AC85" s="441" t="e">
        <f>MIN(AB$77:AB$78)+IF($B$2="mil",1,0.0254)*DDR2Specs!$F$3</f>
        <v>#REF!</v>
      </c>
      <c r="AD85" s="18"/>
      <c r="AE85" s="534" t="e">
        <f t="shared" si="126"/>
        <v>#REF!</v>
      </c>
      <c r="AF85" s="447" t="e">
        <f t="shared" si="127"/>
        <v>#REF!</v>
      </c>
      <c r="AG85" s="447" t="e">
        <f t="shared" si="128"/>
        <v>#REF!</v>
      </c>
      <c r="AH85" s="447" t="e">
        <f t="shared" si="129"/>
        <v>#REF!</v>
      </c>
      <c r="AI85" s="447" t="e">
        <f t="shared" si="130"/>
        <v>#REF!</v>
      </c>
      <c r="AJ85" s="447" t="e">
        <f t="shared" ca="1" si="131"/>
        <v>#NAME?</v>
      </c>
      <c r="AK85" s="447" t="e">
        <f t="shared" si="145"/>
        <v>#REF!</v>
      </c>
      <c r="AL85" s="447" t="e">
        <f t="shared" si="146"/>
        <v>#REF!</v>
      </c>
      <c r="AM85" s="447" t="e">
        <f t="shared" ca="1" si="132"/>
        <v>#NAME?</v>
      </c>
      <c r="AN85" s="447" t="e">
        <f t="shared" ca="1" si="133"/>
        <v>#NAME?</v>
      </c>
      <c r="AO85" s="447" t="e">
        <f t="shared" si="134"/>
        <v>#REF!</v>
      </c>
      <c r="AP85" s="447" t="e">
        <f t="shared" si="135"/>
        <v>#REF!</v>
      </c>
      <c r="AQ85" s="447" t="e">
        <f t="shared" si="136"/>
        <v>#REF!</v>
      </c>
      <c r="AR85" s="447" t="e">
        <f t="shared" si="137"/>
        <v>#REF!</v>
      </c>
      <c r="AS85" s="18"/>
      <c r="AT85" s="2" t="e">
        <f t="shared" ca="1" si="138"/>
        <v>#REF!</v>
      </c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</row>
    <row r="86" spans="1:62" x14ac:dyDescent="0.2">
      <c r="A86" s="92" t="s">
        <v>229</v>
      </c>
      <c r="B86" s="433" t="s">
        <v>164</v>
      </c>
      <c r="C86" s="584">
        <v>655.43307086614175</v>
      </c>
      <c r="D86" s="16"/>
      <c r="E86" s="17">
        <v>29.7</v>
      </c>
      <c r="F86" s="17">
        <v>0</v>
      </c>
      <c r="G86" s="393">
        <v>1705.4992913385829</v>
      </c>
      <c r="H86" s="271">
        <v>107.68</v>
      </c>
      <c r="I86" s="17">
        <v>0</v>
      </c>
      <c r="J86" s="271">
        <v>97.86</v>
      </c>
      <c r="K86" s="17">
        <v>40</v>
      </c>
      <c r="L86" s="271">
        <v>87.86</v>
      </c>
      <c r="M86" s="271">
        <v>1104.79</v>
      </c>
      <c r="N86" s="271">
        <v>75</v>
      </c>
      <c r="O86" s="58"/>
      <c r="P86" s="441">
        <f t="shared" si="139"/>
        <v>1842.879291338583</v>
      </c>
      <c r="Q86" s="441">
        <f t="shared" si="140"/>
        <v>3140.7092913385827</v>
      </c>
      <c r="R86" s="533"/>
      <c r="S86" s="441" t="e">
        <f t="shared" si="141"/>
        <v>#REF!</v>
      </c>
      <c r="T86" s="441" t="e">
        <f t="shared" si="142"/>
        <v>#REF!</v>
      </c>
      <c r="U86" s="533"/>
      <c r="V86" s="441" t="e">
        <f>MAX(V$77:V$78)+IF($B$2="mil",1,0.0254)*DDR2Specs!$B$3</f>
        <v>#REF!</v>
      </c>
      <c r="W86" s="441" t="e">
        <f>MIN(V$77:V$78)+IF($B$2="mil",1,0.0254)*DDR2Specs!$C$3</f>
        <v>#REF!</v>
      </c>
      <c r="X86" s="18"/>
      <c r="Y86" s="534" t="e">
        <f t="shared" si="143"/>
        <v>#REF!</v>
      </c>
      <c r="Z86" s="447" t="e">
        <f t="shared" si="144"/>
        <v>#REF!</v>
      </c>
      <c r="AA86" s="18"/>
      <c r="AB86" s="441" t="e">
        <f>MAX(AB$77:AB$78)+IF($B$2="mil",1,0.0254)*DDR2Specs!$E$3</f>
        <v>#REF!</v>
      </c>
      <c r="AC86" s="441" t="e">
        <f>MIN(AB$77:AB$78)+IF($B$2="mil",1,0.0254)*DDR2Specs!$F$3</f>
        <v>#REF!</v>
      </c>
      <c r="AD86" s="18"/>
      <c r="AE86" s="534" t="e">
        <f t="shared" si="126"/>
        <v>#REF!</v>
      </c>
      <c r="AF86" s="447" t="e">
        <f t="shared" si="127"/>
        <v>#REF!</v>
      </c>
      <c r="AG86" s="447" t="e">
        <f t="shared" si="128"/>
        <v>#REF!</v>
      </c>
      <c r="AH86" s="447" t="e">
        <f t="shared" si="129"/>
        <v>#REF!</v>
      </c>
      <c r="AI86" s="447" t="e">
        <f t="shared" si="130"/>
        <v>#REF!</v>
      </c>
      <c r="AJ86" s="447" t="e">
        <f t="shared" ca="1" si="131"/>
        <v>#NAME?</v>
      </c>
      <c r="AK86" s="447" t="e">
        <f t="shared" si="145"/>
        <v>#REF!</v>
      </c>
      <c r="AL86" s="447" t="e">
        <f t="shared" si="146"/>
        <v>#REF!</v>
      </c>
      <c r="AM86" s="447" t="e">
        <f t="shared" ca="1" si="132"/>
        <v>#NAME?</v>
      </c>
      <c r="AN86" s="447" t="e">
        <f t="shared" ca="1" si="133"/>
        <v>#NAME?</v>
      </c>
      <c r="AO86" s="447" t="e">
        <f t="shared" si="134"/>
        <v>#REF!</v>
      </c>
      <c r="AP86" s="447" t="e">
        <f t="shared" si="135"/>
        <v>#REF!</v>
      </c>
      <c r="AQ86" s="447" t="e">
        <f t="shared" si="136"/>
        <v>#REF!</v>
      </c>
      <c r="AR86" s="447" t="e">
        <f t="shared" si="137"/>
        <v>#REF!</v>
      </c>
      <c r="AS86" s="18"/>
      <c r="AT86" s="2" t="e">
        <f t="shared" ca="1" si="138"/>
        <v>#REF!</v>
      </c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</row>
    <row r="87" spans="1:62" x14ac:dyDescent="0.2">
      <c r="A87" s="92" t="s">
        <v>230</v>
      </c>
      <c r="B87" s="437" t="s">
        <v>557</v>
      </c>
      <c r="C87" s="584">
        <v>709.09448818897636</v>
      </c>
      <c r="D87" s="16"/>
      <c r="E87" s="17">
        <v>29.7</v>
      </c>
      <c r="F87" s="17">
        <v>0</v>
      </c>
      <c r="G87" s="393">
        <v>1673.58</v>
      </c>
      <c r="H87" s="271">
        <v>132.72999999999999</v>
      </c>
      <c r="I87" s="17">
        <v>0</v>
      </c>
      <c r="J87" s="271">
        <v>104.64</v>
      </c>
      <c r="K87" s="17">
        <v>40</v>
      </c>
      <c r="L87" s="271">
        <v>46.64</v>
      </c>
      <c r="M87" s="271">
        <v>1206.57</v>
      </c>
      <c r="N87" s="271">
        <v>31.49</v>
      </c>
      <c r="O87" s="58"/>
      <c r="P87" s="441">
        <f t="shared" si="139"/>
        <v>1836.01</v>
      </c>
      <c r="Q87" s="441">
        <f t="shared" si="140"/>
        <v>3132.62</v>
      </c>
      <c r="R87" s="533"/>
      <c r="S87" s="441" t="e">
        <f t="shared" si="141"/>
        <v>#REF!</v>
      </c>
      <c r="T87" s="441" t="e">
        <f t="shared" si="142"/>
        <v>#REF!</v>
      </c>
      <c r="U87" s="533"/>
      <c r="V87" s="441" t="e">
        <f>MAX(V$77:V$78)+IF($B$2="mil",1,0.0254)*DDR2Specs!$B$3</f>
        <v>#REF!</v>
      </c>
      <c r="W87" s="441" t="e">
        <f>MIN(V$77:V$78)+IF($B$2="mil",1,0.0254)*DDR2Specs!$C$3</f>
        <v>#REF!</v>
      </c>
      <c r="X87" s="18"/>
      <c r="Y87" s="534" t="e">
        <f t="shared" si="143"/>
        <v>#REF!</v>
      </c>
      <c r="Z87" s="447" t="e">
        <f t="shared" si="144"/>
        <v>#REF!</v>
      </c>
      <c r="AA87" s="18"/>
      <c r="AB87" s="441" t="e">
        <f>MAX(AB$77:AB$78)+IF($B$2="mil",1,0.0254)*DDR2Specs!$E$3</f>
        <v>#REF!</v>
      </c>
      <c r="AC87" s="441" t="e">
        <f>MIN(AB$77:AB$78)+IF($B$2="mil",1,0.0254)*DDR2Specs!$F$3</f>
        <v>#REF!</v>
      </c>
      <c r="AD87" s="18"/>
      <c r="AE87" s="534" t="e">
        <f t="shared" si="126"/>
        <v>#REF!</v>
      </c>
      <c r="AF87" s="447" t="e">
        <f t="shared" si="127"/>
        <v>#REF!</v>
      </c>
      <c r="AG87" s="447" t="e">
        <f t="shared" si="128"/>
        <v>#REF!</v>
      </c>
      <c r="AH87" s="447" t="e">
        <f t="shared" si="129"/>
        <v>#REF!</v>
      </c>
      <c r="AI87" s="447" t="e">
        <f t="shared" si="130"/>
        <v>#REF!</v>
      </c>
      <c r="AJ87" s="447" t="e">
        <f t="shared" ca="1" si="131"/>
        <v>#NAME?</v>
      </c>
      <c r="AK87" s="447" t="e">
        <f t="shared" si="145"/>
        <v>#REF!</v>
      </c>
      <c r="AL87" s="447" t="e">
        <f t="shared" si="146"/>
        <v>#REF!</v>
      </c>
      <c r="AM87" s="447" t="e">
        <f t="shared" ca="1" si="132"/>
        <v>#NAME?</v>
      </c>
      <c r="AN87" s="447" t="e">
        <f t="shared" ca="1" si="133"/>
        <v>#NAME?</v>
      </c>
      <c r="AO87" s="447" t="e">
        <f t="shared" si="134"/>
        <v>#REF!</v>
      </c>
      <c r="AP87" s="447" t="e">
        <f t="shared" si="135"/>
        <v>#REF!</v>
      </c>
      <c r="AQ87" s="447" t="e">
        <f t="shared" si="136"/>
        <v>#REF!</v>
      </c>
      <c r="AR87" s="447" t="e">
        <f t="shared" si="137"/>
        <v>#REF!</v>
      </c>
      <c r="AS87" s="18"/>
      <c r="AT87" s="2" t="e">
        <f t="shared" ca="1" si="138"/>
        <v>#REF!</v>
      </c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</row>
    <row r="88" spans="1:62" x14ac:dyDescent="0.2">
      <c r="A88" s="94" t="s">
        <v>252</v>
      </c>
      <c r="B88" s="438"/>
      <c r="C88" s="585"/>
      <c r="D88" s="51"/>
      <c r="E88" s="68"/>
      <c r="F88" s="68"/>
      <c r="G88" s="394"/>
      <c r="H88" s="265"/>
      <c r="I88" s="265"/>
      <c r="J88" s="265"/>
      <c r="K88" s="265"/>
      <c r="L88" s="265"/>
      <c r="M88" s="265"/>
      <c r="N88" s="265"/>
      <c r="O88" s="8"/>
      <c r="P88" s="68"/>
      <c r="Q88" s="68"/>
      <c r="R88" s="68"/>
      <c r="S88" s="539"/>
      <c r="T88" s="539"/>
      <c r="U88" s="539"/>
      <c r="V88" s="539"/>
      <c r="W88" s="540"/>
      <c r="X88" s="540"/>
      <c r="Y88" s="541"/>
      <c r="Z88" s="15"/>
      <c r="AA88" s="540"/>
      <c r="AB88" s="539"/>
      <c r="AC88" s="540"/>
      <c r="AD88" s="540"/>
      <c r="AE88" s="541"/>
      <c r="AF88" s="15"/>
      <c r="AG88" s="15"/>
      <c r="AH88" s="15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69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</row>
    <row r="89" spans="1:62" x14ac:dyDescent="0.2">
      <c r="A89" s="103" t="str">
        <f>'DDR2 Strobes - 1x16'!$A$30</f>
        <v>SA_DQS7</v>
      </c>
      <c r="B89" s="439" t="str">
        <f>'DDR2 Strobes - 1x16'!$B$30</f>
        <v>AA12</v>
      </c>
      <c r="C89" s="586"/>
      <c r="D89" s="44"/>
      <c r="E89" s="67"/>
      <c r="F89" s="67"/>
      <c r="G89" s="395"/>
      <c r="H89" s="266"/>
      <c r="I89" s="266"/>
      <c r="J89" s="266"/>
      <c r="K89" s="266"/>
      <c r="L89" s="266"/>
      <c r="M89" s="266"/>
      <c r="N89" s="266"/>
      <c r="O89" s="67"/>
      <c r="P89" s="67"/>
      <c r="Q89" s="67"/>
      <c r="R89" s="67"/>
      <c r="S89" s="48"/>
      <c r="T89" s="48"/>
      <c r="U89" s="48"/>
      <c r="V89" s="48" t="e">
        <f>'DDR2 Strobes - 1x16'!$S$30</f>
        <v>#REF!</v>
      </c>
      <c r="W89" s="48"/>
      <c r="X89" s="48"/>
      <c r="Y89" s="48"/>
      <c r="Z89" s="542"/>
      <c r="AA89" s="48"/>
      <c r="AB89" s="48" t="e">
        <f>'DDR2 Strobes - 1x16'!$T$30</f>
        <v>#REF!</v>
      </c>
      <c r="AC89" s="48"/>
      <c r="AD89" s="48"/>
      <c r="AE89" s="48"/>
      <c r="AF89" s="542"/>
      <c r="AG89" s="542"/>
      <c r="AH89" s="542"/>
      <c r="AI89" s="542"/>
      <c r="AJ89" s="542"/>
      <c r="AK89" s="542"/>
      <c r="AL89" s="542"/>
      <c r="AM89" s="542"/>
      <c r="AN89" s="542"/>
      <c r="AO89" s="542"/>
      <c r="AP89" s="542"/>
      <c r="AQ89" s="542"/>
      <c r="AR89" s="542"/>
      <c r="AS89" s="48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</row>
    <row r="90" spans="1:62" x14ac:dyDescent="0.2">
      <c r="A90" s="103" t="str">
        <f>'DDR2 Strobes - 1x16'!$A$31</f>
        <v>SA_DQS7#</v>
      </c>
      <c r="B90" s="112" t="str">
        <f>'DDR2 Strobes - 1x16'!$B$31</f>
        <v>AB12</v>
      </c>
      <c r="C90" s="586"/>
      <c r="D90" s="44"/>
      <c r="E90" s="67"/>
      <c r="F90" s="67"/>
      <c r="G90" s="395"/>
      <c r="H90" s="266"/>
      <c r="I90" s="266"/>
      <c r="J90" s="266"/>
      <c r="K90" s="266"/>
      <c r="L90" s="266"/>
      <c r="M90" s="266"/>
      <c r="N90" s="266"/>
      <c r="O90" s="67"/>
      <c r="P90" s="67"/>
      <c r="Q90" s="536"/>
      <c r="R90" s="536"/>
      <c r="S90" s="537"/>
      <c r="T90" s="537"/>
      <c r="U90" s="48"/>
      <c r="V90" s="48" t="e">
        <f>'DDR2 Strobes - 1x16'!$S$31</f>
        <v>#REF!</v>
      </c>
      <c r="W90" s="48"/>
      <c r="X90" s="48"/>
      <c r="Y90" s="48"/>
      <c r="Z90" s="542"/>
      <c r="AA90" s="48"/>
      <c r="AB90" s="48" t="e">
        <f>'DDR2 Strobes - 1x16'!$T$31</f>
        <v>#REF!</v>
      </c>
      <c r="AC90" s="48"/>
      <c r="AD90" s="48"/>
      <c r="AE90" s="48"/>
      <c r="AF90" s="542"/>
      <c r="AG90" s="542"/>
      <c r="AH90" s="542"/>
      <c r="AI90" s="543"/>
      <c r="AJ90" s="543"/>
      <c r="AK90" s="543"/>
      <c r="AL90" s="543"/>
      <c r="AM90" s="543"/>
      <c r="AN90" s="543"/>
      <c r="AO90" s="543"/>
      <c r="AP90" s="543"/>
      <c r="AQ90" s="543"/>
      <c r="AR90" s="543"/>
      <c r="AS90" s="48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</row>
    <row r="91" spans="1:62" x14ac:dyDescent="0.2">
      <c r="A91" s="92" t="s">
        <v>231</v>
      </c>
      <c r="B91" s="433" t="s">
        <v>539</v>
      </c>
      <c r="C91" s="584">
        <v>818.89763779527561</v>
      </c>
      <c r="D91" s="16"/>
      <c r="E91" s="17">
        <v>29.7</v>
      </c>
      <c r="F91" s="17">
        <v>0</v>
      </c>
      <c r="G91" s="393">
        <v>1759.88</v>
      </c>
      <c r="H91" s="271">
        <v>85.84</v>
      </c>
      <c r="I91" s="17">
        <v>0</v>
      </c>
      <c r="J91" s="271">
        <v>55.78</v>
      </c>
      <c r="K91" s="17">
        <v>40</v>
      </c>
      <c r="L91" s="271">
        <v>108.5</v>
      </c>
      <c r="M91" s="271">
        <v>945.54</v>
      </c>
      <c r="N91" s="271">
        <v>75.73</v>
      </c>
      <c r="O91" s="58"/>
      <c r="P91" s="441">
        <f t="shared" ref="P91:P99" si="147" xml:space="preserve"> E91+F91+G91+H91</f>
        <v>1875.42</v>
      </c>
      <c r="Q91" s="441">
        <f t="shared" ref="Q91:Q99" si="148">SUM(E91:G91,I91:N91)</f>
        <v>3015.13</v>
      </c>
      <c r="R91" s="533"/>
      <c r="S91" s="441" t="e">
        <f>P91+IF($B$2="mil",1,0.0254)*C91</f>
        <v>#REF!</v>
      </c>
      <c r="T91" s="441" t="e">
        <f>Q91+IF($B$2="mil",1,0.0254)*C91</f>
        <v>#REF!</v>
      </c>
      <c r="U91" s="533"/>
      <c r="V91" s="441" t="e">
        <f>MAX(V$89:V$90)+IF($B$2="mil",1,0.0254)*DDR2Specs!$B$3</f>
        <v>#REF!</v>
      </c>
      <c r="W91" s="441" t="e">
        <f>MIN(V$89:V$90)+IF($B$2="mil",1,0.0254)*DDR2Specs!$C$3</f>
        <v>#REF!</v>
      </c>
      <c r="X91" s="18"/>
      <c r="Y91" s="534" t="e">
        <f>IF($S91&lt;$V91,$V91-$S91,"Pass")</f>
        <v>#REF!</v>
      </c>
      <c r="Z91" s="447" t="e">
        <f>IF($S91&gt;$W91,$S91-$W91,"Pass")</f>
        <v>#REF!</v>
      </c>
      <c r="AA91" s="18"/>
      <c r="AB91" s="441" t="e">
        <f>MAX(AB$89:AB$90)+IF($B$2="mil",1,0.0254)*DDR2Specs!$E$3</f>
        <v>#REF!</v>
      </c>
      <c r="AC91" s="441" t="e">
        <f>MIN(AB$89:AB$90)+IF($B$2="mil",1,0.0254)*DDR2Specs!$F$3</f>
        <v>#REF!</v>
      </c>
      <c r="AD91" s="18"/>
      <c r="AE91" s="534" t="e">
        <f t="shared" ref="AE91:AE99" si="149">IF($T91&lt;$AB91,$AB91-$T91,"Pass")</f>
        <v>#REF!</v>
      </c>
      <c r="AF91" s="447" t="e">
        <f t="shared" ref="AF91:AF99" si="150">IF($T91&gt;$AC91,$T91-$AC91,"Pass")</f>
        <v>#REF!</v>
      </c>
      <c r="AG91" s="447" t="e">
        <f t="shared" ref="AG91:AG99" si="151">IF($E91&lt;=IF($B$2="mil",1,0.0254)*50,"Pass",IF($B$2="mil",1,0.0254)*50-$E91)</f>
        <v>#REF!</v>
      </c>
      <c r="AH91" s="447" t="e">
        <f t="shared" ref="AH91:AH99" si="152">IF($F91&lt;=IF($B$2="mil",1,0.0254)*500,"Pass",IF($B$2="mil",1,0.0254)*500-$F91)</f>
        <v>#REF!</v>
      </c>
      <c r="AI91" s="447" t="e">
        <f t="shared" ref="AI91:AI99" si="153">IF($H91&lt;=IF($B$2="mil",1,0.0254)*250,"Pass",IF($B$2="mil",1,0.0254)*250-$H91)</f>
        <v>#REF!</v>
      </c>
      <c r="AJ91" s="447" t="e">
        <f t="shared" ref="AJ91:AJ99" ca="1" si="154">CheckLength(IF($B$2="mil",1,0.0254)*1125, IF($B$2="mil",1,0.0254)*125-J91, 0, I91,J91,0)</f>
        <v>#NAME?</v>
      </c>
      <c r="AK91" s="447" t="e">
        <f>IF($J91&lt;=IF($B$2="mil",1,0.0254)*125,"Pass",IF($B$2="mil",1,0.0254)*125-$J91)</f>
        <v>#REF!</v>
      </c>
      <c r="AL91" s="447" t="e">
        <f>IF($L91&lt;=IF($B$2="mil",1,0.0254)*125,"Pass",IF($B$2="mil",1,0.0254)*125-$L91)</f>
        <v>#REF!</v>
      </c>
      <c r="AM91" s="447" t="e">
        <f t="shared" ref="AM91:AM99" ca="1" si="155">CheckLength(IF($B$2="mil",1,0.0254)*1525, IF($B$2="mil",1,0.0254)*125-L91, IF($B$2="mil",1,0.0254)*150-N91, M91,L91,N91)</f>
        <v>#NAME?</v>
      </c>
      <c r="AN91" s="447" t="e">
        <f t="shared" ref="AN91:AN99" ca="1" si="156">CheckLength2(IF($B$2="mil",1,0.0254)*1400,M91,N91,0)</f>
        <v>#NAME?</v>
      </c>
      <c r="AO91" s="447" t="e">
        <f t="shared" ref="AO91:AO99" si="157">IF(AND($P91&gt;=IF($B$2="mil",1,0.0254)*500, $P91&lt;=IF($B$2="mil",1,0.0254)*4000),"Pass",IF($B$2="mil",1,0.0254)*4000-$P91)</f>
        <v>#REF!</v>
      </c>
      <c r="AP91" s="447" t="e">
        <f t="shared" ref="AP91:AP99" si="158">IF(AND($S91&gt;=IF($B$2="mil",1,0.0254)*500, $S91&lt;=IF($B$2="mil",1,0.0254)*4500),"Pass",IF($B$2="mil",1,0.0254)*4500-$S91)</f>
        <v>#REF!</v>
      </c>
      <c r="AQ91" s="447" t="e">
        <f t="shared" ref="AQ91:AQ99" si="159">IF(AND($Q91&gt;=IF($B$2="mil",1,0.0254)*500, $Q91&lt;=IF($B$2="mil",1,0.0254)*5500),"Pass",IF($B$2="mil",1,0.0254)*5500-$Q91)</f>
        <v>#REF!</v>
      </c>
      <c r="AR91" s="447" t="e">
        <f t="shared" ref="AR91:AR99" si="160">IF(AND($T91&gt;=IF($B$2="mil",1,0.0254)*500, $T91&lt;=IF($B$2="mil",1,0.0254)*6000),"Pass",IF($B$2="mil",1,0.0254)*6000-$T91)</f>
        <v>#REF!</v>
      </c>
      <c r="AS91" s="18"/>
      <c r="AT91" s="2" t="e">
        <f t="shared" ref="AT91:AT99" ca="1" si="161">IF(AND(AG91="Pass",AP91="Pass",AI91="Pass",AH91="Pass",AO91="Pass",Y91="Pass",Z91="Pass",AN91="Pass",AM91="Pass",AL91="Pass",AK91="Pass",AJ91="Pass",AE91="Pass",AF91="Pass",AQ91="Pass",AR91="Pass"),"Pass","Fail")</f>
        <v>#REF!</v>
      </c>
      <c r="AU91" s="2" t="e">
        <f ca="1">IF(AND(AT91="Pass",AT92="Pass",AT93="Pass",AT94="Pass",AT95="Pass",AT96="Pass",AT97="Pass",AT98="Pass",AT99="Pass"),"Pass","Fail")</f>
        <v>#REF!</v>
      </c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</row>
    <row r="92" spans="1:62" x14ac:dyDescent="0.2">
      <c r="A92" s="92" t="s">
        <v>232</v>
      </c>
      <c r="B92" s="433" t="s">
        <v>165</v>
      </c>
      <c r="C92" s="584">
        <v>680.03937007874015</v>
      </c>
      <c r="D92" s="16"/>
      <c r="E92" s="17">
        <v>29.7</v>
      </c>
      <c r="F92" s="17">
        <v>0</v>
      </c>
      <c r="G92" s="393">
        <v>1726.8122047244087</v>
      </c>
      <c r="H92" s="271">
        <v>111.27</v>
      </c>
      <c r="I92" s="17">
        <v>0</v>
      </c>
      <c r="J92" s="271">
        <v>90.78</v>
      </c>
      <c r="K92" s="17">
        <v>40</v>
      </c>
      <c r="L92" s="271">
        <v>86.78</v>
      </c>
      <c r="M92" s="271">
        <v>956.63</v>
      </c>
      <c r="N92" s="271">
        <v>76.06</v>
      </c>
      <c r="O92" s="58"/>
      <c r="P92" s="441">
        <f t="shared" si="147"/>
        <v>1867.7822047244088</v>
      </c>
      <c r="Q92" s="441">
        <f t="shared" si="148"/>
        <v>3006.7622047244085</v>
      </c>
      <c r="R92" s="533"/>
      <c r="S92" s="441" t="e">
        <f t="shared" ref="S92:S99" si="162">P92+IF($B$2="mil",1,0.0254)*C92</f>
        <v>#REF!</v>
      </c>
      <c r="T92" s="441" t="e">
        <f t="shared" ref="T92:T99" si="163">Q92+IF($B$2="mil",1,0.0254)*C92</f>
        <v>#REF!</v>
      </c>
      <c r="U92" s="533"/>
      <c r="V92" s="441" t="e">
        <f>MAX(V$89:V$90)+IF($B$2="mil",1,0.0254)*DDR2Specs!$B$3</f>
        <v>#REF!</v>
      </c>
      <c r="W92" s="441" t="e">
        <f>MIN(V$89:V$90)+IF($B$2="mil",1,0.0254)*DDR2Specs!$C$3</f>
        <v>#REF!</v>
      </c>
      <c r="X92" s="18"/>
      <c r="Y92" s="534" t="e">
        <f t="shared" ref="Y92:Y99" si="164">IF($S92&lt;$V92,$V92-$S92,"Pass")</f>
        <v>#REF!</v>
      </c>
      <c r="Z92" s="447" t="e">
        <f t="shared" ref="Z92:Z99" si="165">IF($S92&gt;$W92,$S92-$W92,"Pass")</f>
        <v>#REF!</v>
      </c>
      <c r="AA92" s="18"/>
      <c r="AB92" s="441" t="e">
        <f>MAX(AB$89:AB$90)+IF($B$2="mil",1,0.0254)*DDR2Specs!$E$3</f>
        <v>#REF!</v>
      </c>
      <c r="AC92" s="441" t="e">
        <f>MIN(AB$89:AB$90)+IF($B$2="mil",1,0.0254)*DDR2Specs!$F$3</f>
        <v>#REF!</v>
      </c>
      <c r="AD92" s="18"/>
      <c r="AE92" s="534" t="e">
        <f t="shared" si="149"/>
        <v>#REF!</v>
      </c>
      <c r="AF92" s="447" t="e">
        <f t="shared" si="150"/>
        <v>#REF!</v>
      </c>
      <c r="AG92" s="447" t="e">
        <f t="shared" si="151"/>
        <v>#REF!</v>
      </c>
      <c r="AH92" s="447" t="e">
        <f t="shared" si="152"/>
        <v>#REF!</v>
      </c>
      <c r="AI92" s="447" t="e">
        <f t="shared" si="153"/>
        <v>#REF!</v>
      </c>
      <c r="AJ92" s="447" t="e">
        <f t="shared" ca="1" si="154"/>
        <v>#NAME?</v>
      </c>
      <c r="AK92" s="447" t="e">
        <f t="shared" ref="AK92:AK99" si="166">IF($J92&lt;=IF($B$2="mil",1,0.0254)*125,"Pass",IF($B$2="mil",1,0.0254)*125-$J92)</f>
        <v>#REF!</v>
      </c>
      <c r="AL92" s="447" t="e">
        <f t="shared" ref="AL92:AL99" si="167">IF($L92&lt;=IF($B$2="mil",1,0.0254)*125,"Pass",IF($B$2="mil",1,0.0254)*125-$L92)</f>
        <v>#REF!</v>
      </c>
      <c r="AM92" s="447" t="e">
        <f t="shared" ca="1" si="155"/>
        <v>#NAME?</v>
      </c>
      <c r="AN92" s="447" t="e">
        <f t="shared" ca="1" si="156"/>
        <v>#NAME?</v>
      </c>
      <c r="AO92" s="447" t="e">
        <f t="shared" si="157"/>
        <v>#REF!</v>
      </c>
      <c r="AP92" s="447" t="e">
        <f t="shared" si="158"/>
        <v>#REF!</v>
      </c>
      <c r="AQ92" s="447" t="e">
        <f t="shared" si="159"/>
        <v>#REF!</v>
      </c>
      <c r="AR92" s="447" t="e">
        <f t="shared" si="160"/>
        <v>#REF!</v>
      </c>
      <c r="AS92" s="18"/>
      <c r="AT92" s="2" t="e">
        <f t="shared" ca="1" si="161"/>
        <v>#REF!</v>
      </c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</row>
    <row r="93" spans="1:62" x14ac:dyDescent="0.2">
      <c r="A93" s="92" t="s">
        <v>233</v>
      </c>
      <c r="B93" s="433" t="s">
        <v>540</v>
      </c>
      <c r="C93" s="584">
        <v>657.40157480314963</v>
      </c>
      <c r="D93" s="16"/>
      <c r="E93" s="17">
        <v>29.7</v>
      </c>
      <c r="F93" s="17">
        <v>0</v>
      </c>
      <c r="G93" s="393">
        <v>1881.3176377952755</v>
      </c>
      <c r="H93" s="271">
        <v>70.3</v>
      </c>
      <c r="I93" s="17">
        <v>0</v>
      </c>
      <c r="J93" s="271">
        <v>55.78</v>
      </c>
      <c r="K93" s="17">
        <v>40</v>
      </c>
      <c r="L93" s="271">
        <v>96.78</v>
      </c>
      <c r="M93" s="271">
        <v>984.09</v>
      </c>
      <c r="N93" s="271">
        <v>31.5</v>
      </c>
      <c r="O93" s="58"/>
      <c r="P93" s="441">
        <f t="shared" si="147"/>
        <v>1981.3176377952755</v>
      </c>
      <c r="Q93" s="441">
        <f t="shared" si="148"/>
        <v>3119.1676377952758</v>
      </c>
      <c r="R93" s="533"/>
      <c r="S93" s="441" t="e">
        <f t="shared" si="162"/>
        <v>#REF!</v>
      </c>
      <c r="T93" s="441" t="e">
        <f t="shared" si="163"/>
        <v>#REF!</v>
      </c>
      <c r="U93" s="533"/>
      <c r="V93" s="441" t="e">
        <f>MAX(V$89:V$90)+IF($B$2="mil",1,0.0254)*DDR2Specs!$B$3</f>
        <v>#REF!</v>
      </c>
      <c r="W93" s="441" t="e">
        <f>MIN(V$89:V$90)+IF($B$2="mil",1,0.0254)*DDR2Specs!$C$3</f>
        <v>#REF!</v>
      </c>
      <c r="X93" s="18"/>
      <c r="Y93" s="534" t="e">
        <f t="shared" si="164"/>
        <v>#REF!</v>
      </c>
      <c r="Z93" s="447" t="e">
        <f t="shared" si="165"/>
        <v>#REF!</v>
      </c>
      <c r="AA93" s="18"/>
      <c r="AB93" s="441" t="e">
        <f>MAX(AB$89:AB$90)+IF($B$2="mil",1,0.0254)*DDR2Specs!$E$3</f>
        <v>#REF!</v>
      </c>
      <c r="AC93" s="441" t="e">
        <f>MIN(AB$89:AB$90)+IF($B$2="mil",1,0.0254)*DDR2Specs!$F$3</f>
        <v>#REF!</v>
      </c>
      <c r="AD93" s="18"/>
      <c r="AE93" s="534" t="e">
        <f t="shared" si="149"/>
        <v>#REF!</v>
      </c>
      <c r="AF93" s="447" t="e">
        <f t="shared" si="150"/>
        <v>#REF!</v>
      </c>
      <c r="AG93" s="447" t="e">
        <f t="shared" si="151"/>
        <v>#REF!</v>
      </c>
      <c r="AH93" s="447" t="e">
        <f t="shared" si="152"/>
        <v>#REF!</v>
      </c>
      <c r="AI93" s="447" t="e">
        <f t="shared" si="153"/>
        <v>#REF!</v>
      </c>
      <c r="AJ93" s="447" t="e">
        <f t="shared" ca="1" si="154"/>
        <v>#NAME?</v>
      </c>
      <c r="AK93" s="447" t="e">
        <f t="shared" si="166"/>
        <v>#REF!</v>
      </c>
      <c r="AL93" s="447" t="e">
        <f t="shared" si="167"/>
        <v>#REF!</v>
      </c>
      <c r="AM93" s="447" t="e">
        <f t="shared" ca="1" si="155"/>
        <v>#NAME?</v>
      </c>
      <c r="AN93" s="447" t="e">
        <f t="shared" ca="1" si="156"/>
        <v>#NAME?</v>
      </c>
      <c r="AO93" s="447" t="e">
        <f t="shared" si="157"/>
        <v>#REF!</v>
      </c>
      <c r="AP93" s="447" t="e">
        <f t="shared" si="158"/>
        <v>#REF!</v>
      </c>
      <c r="AQ93" s="447" t="e">
        <f t="shared" si="159"/>
        <v>#REF!</v>
      </c>
      <c r="AR93" s="447" t="e">
        <f t="shared" si="160"/>
        <v>#REF!</v>
      </c>
      <c r="AS93" s="18"/>
      <c r="AT93" s="2" t="e">
        <f t="shared" ca="1" si="161"/>
        <v>#REF!</v>
      </c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</row>
    <row r="94" spans="1:62" x14ac:dyDescent="0.2">
      <c r="A94" s="92" t="s">
        <v>234</v>
      </c>
      <c r="B94" s="433" t="s">
        <v>65</v>
      </c>
      <c r="C94" s="584">
        <v>678.70078740157487</v>
      </c>
      <c r="D94" s="16"/>
      <c r="E94" s="17">
        <v>29.7</v>
      </c>
      <c r="F94" s="17">
        <v>0</v>
      </c>
      <c r="G94" s="393">
        <v>1830.7172440944876</v>
      </c>
      <c r="H94" s="271">
        <v>112.05</v>
      </c>
      <c r="I94" s="17">
        <v>0</v>
      </c>
      <c r="J94" s="271">
        <v>90.78</v>
      </c>
      <c r="K94" s="17">
        <v>40</v>
      </c>
      <c r="L94" s="271">
        <v>61.78</v>
      </c>
      <c r="M94" s="271">
        <v>1027.78</v>
      </c>
      <c r="N94" s="271">
        <v>31.48</v>
      </c>
      <c r="O94" s="58"/>
      <c r="P94" s="441">
        <f t="shared" si="147"/>
        <v>1972.4672440944876</v>
      </c>
      <c r="Q94" s="441">
        <f t="shared" si="148"/>
        <v>3112.2372440944878</v>
      </c>
      <c r="R94" s="533"/>
      <c r="S94" s="441" t="e">
        <f t="shared" si="162"/>
        <v>#REF!</v>
      </c>
      <c r="T94" s="441" t="e">
        <f t="shared" si="163"/>
        <v>#REF!</v>
      </c>
      <c r="U94" s="533"/>
      <c r="V94" s="441" t="e">
        <f>MAX(V$89:V$90)+IF($B$2="mil",1,0.0254)*DDR2Specs!$B$3</f>
        <v>#REF!</v>
      </c>
      <c r="W94" s="441" t="e">
        <f>MIN(V$89:V$90)+IF($B$2="mil",1,0.0254)*DDR2Specs!$C$3</f>
        <v>#REF!</v>
      </c>
      <c r="X94" s="18"/>
      <c r="Y94" s="534" t="e">
        <f t="shared" si="164"/>
        <v>#REF!</v>
      </c>
      <c r="Z94" s="447" t="e">
        <f t="shared" si="165"/>
        <v>#REF!</v>
      </c>
      <c r="AA94" s="18"/>
      <c r="AB94" s="441" t="e">
        <f>MAX(AB$89:AB$90)+IF($B$2="mil",1,0.0254)*DDR2Specs!$E$3</f>
        <v>#REF!</v>
      </c>
      <c r="AC94" s="441" t="e">
        <f>MIN(AB$89:AB$90)+IF($B$2="mil",1,0.0254)*DDR2Specs!$F$3</f>
        <v>#REF!</v>
      </c>
      <c r="AD94" s="18"/>
      <c r="AE94" s="534" t="e">
        <f t="shared" si="149"/>
        <v>#REF!</v>
      </c>
      <c r="AF94" s="447" t="e">
        <f t="shared" si="150"/>
        <v>#REF!</v>
      </c>
      <c r="AG94" s="447" t="e">
        <f t="shared" si="151"/>
        <v>#REF!</v>
      </c>
      <c r="AH94" s="447" t="e">
        <f t="shared" si="152"/>
        <v>#REF!</v>
      </c>
      <c r="AI94" s="447" t="e">
        <f t="shared" si="153"/>
        <v>#REF!</v>
      </c>
      <c r="AJ94" s="447" t="e">
        <f t="shared" ca="1" si="154"/>
        <v>#NAME?</v>
      </c>
      <c r="AK94" s="447" t="e">
        <f t="shared" si="166"/>
        <v>#REF!</v>
      </c>
      <c r="AL94" s="447" t="e">
        <f t="shared" si="167"/>
        <v>#REF!</v>
      </c>
      <c r="AM94" s="447" t="e">
        <f t="shared" ca="1" si="155"/>
        <v>#NAME?</v>
      </c>
      <c r="AN94" s="447" t="e">
        <f t="shared" ca="1" si="156"/>
        <v>#NAME?</v>
      </c>
      <c r="AO94" s="447" t="e">
        <f t="shared" si="157"/>
        <v>#REF!</v>
      </c>
      <c r="AP94" s="447" t="e">
        <f t="shared" si="158"/>
        <v>#REF!</v>
      </c>
      <c r="AQ94" s="447" t="e">
        <f t="shared" si="159"/>
        <v>#REF!</v>
      </c>
      <c r="AR94" s="447" t="e">
        <f t="shared" si="160"/>
        <v>#REF!</v>
      </c>
      <c r="AS94" s="18"/>
      <c r="AT94" s="2" t="e">
        <f t="shared" ca="1" si="161"/>
        <v>#REF!</v>
      </c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</row>
    <row r="95" spans="1:62" x14ac:dyDescent="0.2">
      <c r="A95" s="92" t="s">
        <v>235</v>
      </c>
      <c r="B95" s="433" t="s">
        <v>541</v>
      </c>
      <c r="C95" s="584">
        <v>732.83464566929138</v>
      </c>
      <c r="D95" s="16"/>
      <c r="E95" s="17">
        <v>29.7</v>
      </c>
      <c r="F95" s="17">
        <v>0</v>
      </c>
      <c r="G95" s="393">
        <v>1718.9908661417317</v>
      </c>
      <c r="H95" s="271">
        <v>124.8</v>
      </c>
      <c r="I95" s="17">
        <v>0</v>
      </c>
      <c r="J95" s="271">
        <v>95.78</v>
      </c>
      <c r="K95" s="17">
        <v>40</v>
      </c>
      <c r="L95" s="271">
        <v>89.93</v>
      </c>
      <c r="M95" s="271">
        <v>977.47</v>
      </c>
      <c r="N95" s="271">
        <v>76.08</v>
      </c>
      <c r="O95" s="58"/>
      <c r="P95" s="441">
        <f t="shared" si="147"/>
        <v>1873.4908661417317</v>
      </c>
      <c r="Q95" s="441">
        <f t="shared" si="148"/>
        <v>3027.9508661417317</v>
      </c>
      <c r="R95" s="533"/>
      <c r="S95" s="441" t="e">
        <f t="shared" si="162"/>
        <v>#REF!</v>
      </c>
      <c r="T95" s="441" t="e">
        <f t="shared" si="163"/>
        <v>#REF!</v>
      </c>
      <c r="U95" s="533"/>
      <c r="V95" s="441" t="e">
        <f>MAX(V$89:V$90)+IF($B$2="mil",1,0.0254)*DDR2Specs!$B$3</f>
        <v>#REF!</v>
      </c>
      <c r="W95" s="441" t="e">
        <f>MIN(V$89:V$90)+IF($B$2="mil",1,0.0254)*DDR2Specs!$C$3</f>
        <v>#REF!</v>
      </c>
      <c r="X95" s="18"/>
      <c r="Y95" s="534" t="e">
        <f t="shared" si="164"/>
        <v>#REF!</v>
      </c>
      <c r="Z95" s="447" t="e">
        <f t="shared" si="165"/>
        <v>#REF!</v>
      </c>
      <c r="AA95" s="18"/>
      <c r="AB95" s="441" t="e">
        <f>MAX(AB$89:AB$90)+IF($B$2="mil",1,0.0254)*DDR2Specs!$E$3</f>
        <v>#REF!</v>
      </c>
      <c r="AC95" s="441" t="e">
        <f>MIN(AB$89:AB$90)+IF($B$2="mil",1,0.0254)*DDR2Specs!$F$3</f>
        <v>#REF!</v>
      </c>
      <c r="AD95" s="18"/>
      <c r="AE95" s="534" t="e">
        <f t="shared" si="149"/>
        <v>#REF!</v>
      </c>
      <c r="AF95" s="447" t="e">
        <f t="shared" si="150"/>
        <v>#REF!</v>
      </c>
      <c r="AG95" s="447" t="e">
        <f t="shared" si="151"/>
        <v>#REF!</v>
      </c>
      <c r="AH95" s="447" t="e">
        <f t="shared" si="152"/>
        <v>#REF!</v>
      </c>
      <c r="AI95" s="447" t="e">
        <f t="shared" si="153"/>
        <v>#REF!</v>
      </c>
      <c r="AJ95" s="447" t="e">
        <f t="shared" ca="1" si="154"/>
        <v>#NAME?</v>
      </c>
      <c r="AK95" s="447" t="e">
        <f t="shared" si="166"/>
        <v>#REF!</v>
      </c>
      <c r="AL95" s="447" t="e">
        <f t="shared" si="167"/>
        <v>#REF!</v>
      </c>
      <c r="AM95" s="447" t="e">
        <f t="shared" ca="1" si="155"/>
        <v>#NAME?</v>
      </c>
      <c r="AN95" s="447" t="e">
        <f t="shared" ca="1" si="156"/>
        <v>#NAME?</v>
      </c>
      <c r="AO95" s="447" t="e">
        <f t="shared" si="157"/>
        <v>#REF!</v>
      </c>
      <c r="AP95" s="447" t="e">
        <f t="shared" si="158"/>
        <v>#REF!</v>
      </c>
      <c r="AQ95" s="447" t="e">
        <f t="shared" si="159"/>
        <v>#REF!</v>
      </c>
      <c r="AR95" s="447" t="e">
        <f t="shared" si="160"/>
        <v>#REF!</v>
      </c>
      <c r="AS95" s="18"/>
      <c r="AT95" s="2" t="e">
        <f t="shared" ca="1" si="161"/>
        <v>#REF!</v>
      </c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</row>
    <row r="96" spans="1:62" x14ac:dyDescent="0.2">
      <c r="A96" s="92" t="s">
        <v>236</v>
      </c>
      <c r="B96" s="433" t="s">
        <v>542</v>
      </c>
      <c r="C96" s="584">
        <v>573.50393700787401</v>
      </c>
      <c r="D96" s="16"/>
      <c r="E96" s="17">
        <v>29.7</v>
      </c>
      <c r="F96" s="17">
        <v>0</v>
      </c>
      <c r="G96" s="393">
        <v>1708.9403149606296</v>
      </c>
      <c r="H96" s="271">
        <v>79.260000000000005</v>
      </c>
      <c r="I96" s="17">
        <v>0</v>
      </c>
      <c r="J96" s="271">
        <v>58.71</v>
      </c>
      <c r="K96" s="17">
        <v>40</v>
      </c>
      <c r="L96" s="271">
        <v>54.64</v>
      </c>
      <c r="M96" s="271">
        <v>976.35</v>
      </c>
      <c r="N96" s="271">
        <v>89.13</v>
      </c>
      <c r="O96" s="58"/>
      <c r="P96" s="441">
        <f t="shared" si="147"/>
        <v>1817.9003149606297</v>
      </c>
      <c r="Q96" s="441">
        <f t="shared" si="148"/>
        <v>2957.4703149606298</v>
      </c>
      <c r="R96" s="533"/>
      <c r="S96" s="441" t="e">
        <f t="shared" si="162"/>
        <v>#REF!</v>
      </c>
      <c r="T96" s="441" t="e">
        <f t="shared" si="163"/>
        <v>#REF!</v>
      </c>
      <c r="U96" s="533"/>
      <c r="V96" s="441" t="e">
        <f>MAX(V$89:V$90)+IF($B$2="mil",1,0.0254)*DDR2Specs!$B$3</f>
        <v>#REF!</v>
      </c>
      <c r="W96" s="441" t="e">
        <f>MIN(V$89:V$90)+IF($B$2="mil",1,0.0254)*DDR2Specs!$C$3</f>
        <v>#REF!</v>
      </c>
      <c r="X96" s="18"/>
      <c r="Y96" s="534" t="e">
        <f t="shared" si="164"/>
        <v>#REF!</v>
      </c>
      <c r="Z96" s="447" t="e">
        <f t="shared" si="165"/>
        <v>#REF!</v>
      </c>
      <c r="AA96" s="18"/>
      <c r="AB96" s="441" t="e">
        <f>MAX(AB$89:AB$90)+IF($B$2="mil",1,0.0254)*DDR2Specs!$E$3</f>
        <v>#REF!</v>
      </c>
      <c r="AC96" s="441" t="e">
        <f>MIN(AB$89:AB$90)+IF($B$2="mil",1,0.0254)*DDR2Specs!$F$3</f>
        <v>#REF!</v>
      </c>
      <c r="AD96" s="18"/>
      <c r="AE96" s="534" t="e">
        <f t="shared" si="149"/>
        <v>#REF!</v>
      </c>
      <c r="AF96" s="447" t="e">
        <f t="shared" si="150"/>
        <v>#REF!</v>
      </c>
      <c r="AG96" s="447" t="e">
        <f t="shared" si="151"/>
        <v>#REF!</v>
      </c>
      <c r="AH96" s="447" t="e">
        <f t="shared" si="152"/>
        <v>#REF!</v>
      </c>
      <c r="AI96" s="447" t="e">
        <f t="shared" si="153"/>
        <v>#REF!</v>
      </c>
      <c r="AJ96" s="447" t="e">
        <f t="shared" ca="1" si="154"/>
        <v>#NAME?</v>
      </c>
      <c r="AK96" s="447" t="e">
        <f t="shared" si="166"/>
        <v>#REF!</v>
      </c>
      <c r="AL96" s="447" t="e">
        <f t="shared" si="167"/>
        <v>#REF!</v>
      </c>
      <c r="AM96" s="447" t="e">
        <f t="shared" ca="1" si="155"/>
        <v>#NAME?</v>
      </c>
      <c r="AN96" s="447" t="e">
        <f t="shared" ca="1" si="156"/>
        <v>#NAME?</v>
      </c>
      <c r="AO96" s="447" t="e">
        <f t="shared" si="157"/>
        <v>#REF!</v>
      </c>
      <c r="AP96" s="447" t="e">
        <f t="shared" si="158"/>
        <v>#REF!</v>
      </c>
      <c r="AQ96" s="447" t="e">
        <f t="shared" si="159"/>
        <v>#REF!</v>
      </c>
      <c r="AR96" s="447" t="e">
        <f t="shared" si="160"/>
        <v>#REF!</v>
      </c>
      <c r="AS96" s="18"/>
      <c r="AT96" s="2" t="e">
        <f t="shared" ca="1" si="161"/>
        <v>#REF!</v>
      </c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</row>
    <row r="97" spans="1:62" x14ac:dyDescent="0.2">
      <c r="A97" s="92" t="s">
        <v>237</v>
      </c>
      <c r="B97" s="433" t="s">
        <v>390</v>
      </c>
      <c r="C97" s="584">
        <v>629.48818897637796</v>
      </c>
      <c r="D97" s="16"/>
      <c r="E97" s="17">
        <v>29.7</v>
      </c>
      <c r="F97" s="17">
        <v>0</v>
      </c>
      <c r="G97" s="393">
        <v>1854.0607086614164</v>
      </c>
      <c r="H97" s="271">
        <v>117.99</v>
      </c>
      <c r="I97" s="17">
        <v>0</v>
      </c>
      <c r="J97" s="271">
        <v>108.75</v>
      </c>
      <c r="K97" s="17">
        <v>40</v>
      </c>
      <c r="L97" s="271">
        <v>88.78</v>
      </c>
      <c r="M97" s="271">
        <v>941.93</v>
      </c>
      <c r="N97" s="271">
        <v>76.08</v>
      </c>
      <c r="O97" s="58"/>
      <c r="P97" s="441">
        <f t="shared" si="147"/>
        <v>2001.7507086614164</v>
      </c>
      <c r="Q97" s="441">
        <f t="shared" si="148"/>
        <v>3139.3007086614161</v>
      </c>
      <c r="R97" s="533"/>
      <c r="S97" s="441" t="e">
        <f t="shared" si="162"/>
        <v>#REF!</v>
      </c>
      <c r="T97" s="441" t="e">
        <f t="shared" si="163"/>
        <v>#REF!</v>
      </c>
      <c r="U97" s="533"/>
      <c r="V97" s="441" t="e">
        <f>MAX(V$89:V$90)+IF($B$2="mil",1,0.0254)*DDR2Specs!$B$3</f>
        <v>#REF!</v>
      </c>
      <c r="W97" s="441" t="e">
        <f>MIN(V$89:V$90)+IF($B$2="mil",1,0.0254)*DDR2Specs!$C$3</f>
        <v>#REF!</v>
      </c>
      <c r="X97" s="18"/>
      <c r="Y97" s="534" t="e">
        <f t="shared" si="164"/>
        <v>#REF!</v>
      </c>
      <c r="Z97" s="447" t="e">
        <f t="shared" si="165"/>
        <v>#REF!</v>
      </c>
      <c r="AA97" s="18"/>
      <c r="AB97" s="441" t="e">
        <f>MAX(AB$89:AB$90)+IF($B$2="mil",1,0.0254)*DDR2Specs!$E$3</f>
        <v>#REF!</v>
      </c>
      <c r="AC97" s="441" t="e">
        <f>MIN(AB$89:AB$90)+IF($B$2="mil",1,0.0254)*DDR2Specs!$F$3</f>
        <v>#REF!</v>
      </c>
      <c r="AD97" s="18"/>
      <c r="AE97" s="534" t="e">
        <f t="shared" si="149"/>
        <v>#REF!</v>
      </c>
      <c r="AF97" s="447" t="e">
        <f t="shared" si="150"/>
        <v>#REF!</v>
      </c>
      <c r="AG97" s="447" t="e">
        <f t="shared" si="151"/>
        <v>#REF!</v>
      </c>
      <c r="AH97" s="447" t="e">
        <f t="shared" si="152"/>
        <v>#REF!</v>
      </c>
      <c r="AI97" s="447" t="e">
        <f t="shared" si="153"/>
        <v>#REF!</v>
      </c>
      <c r="AJ97" s="447" t="e">
        <f t="shared" ca="1" si="154"/>
        <v>#NAME?</v>
      </c>
      <c r="AK97" s="447" t="e">
        <f t="shared" si="166"/>
        <v>#REF!</v>
      </c>
      <c r="AL97" s="447" t="e">
        <f t="shared" si="167"/>
        <v>#REF!</v>
      </c>
      <c r="AM97" s="447" t="e">
        <f t="shared" ca="1" si="155"/>
        <v>#NAME?</v>
      </c>
      <c r="AN97" s="447" t="e">
        <f t="shared" ca="1" si="156"/>
        <v>#NAME?</v>
      </c>
      <c r="AO97" s="447" t="e">
        <f t="shared" si="157"/>
        <v>#REF!</v>
      </c>
      <c r="AP97" s="447" t="e">
        <f t="shared" si="158"/>
        <v>#REF!</v>
      </c>
      <c r="AQ97" s="447" t="e">
        <f t="shared" si="159"/>
        <v>#REF!</v>
      </c>
      <c r="AR97" s="447" t="e">
        <f t="shared" si="160"/>
        <v>#REF!</v>
      </c>
      <c r="AS97" s="18"/>
      <c r="AT97" s="2" t="e">
        <f t="shared" ca="1" si="161"/>
        <v>#REF!</v>
      </c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</row>
    <row r="98" spans="1:62" x14ac:dyDescent="0.2">
      <c r="A98" s="92" t="s">
        <v>238</v>
      </c>
      <c r="B98" s="433" t="s">
        <v>543</v>
      </c>
      <c r="C98" s="584">
        <v>637.44094488188978</v>
      </c>
      <c r="D98" s="16"/>
      <c r="E98" s="17">
        <v>29.7</v>
      </c>
      <c r="F98" s="17">
        <v>0</v>
      </c>
      <c r="G98" s="393">
        <v>1920.9495275590546</v>
      </c>
      <c r="H98" s="271">
        <v>65.55</v>
      </c>
      <c r="I98" s="17">
        <v>0</v>
      </c>
      <c r="J98" s="271">
        <v>55.59</v>
      </c>
      <c r="K98" s="17">
        <v>40</v>
      </c>
      <c r="L98" s="271">
        <v>50.78</v>
      </c>
      <c r="M98" s="271">
        <v>988.98</v>
      </c>
      <c r="N98" s="271">
        <v>67.47</v>
      </c>
      <c r="O98" s="58"/>
      <c r="P98" s="441">
        <f t="shared" si="147"/>
        <v>2016.1995275590546</v>
      </c>
      <c r="Q98" s="441">
        <f t="shared" si="148"/>
        <v>3153.4695275590543</v>
      </c>
      <c r="R98" s="533"/>
      <c r="S98" s="441" t="e">
        <f t="shared" si="162"/>
        <v>#REF!</v>
      </c>
      <c r="T98" s="441" t="e">
        <f t="shared" si="163"/>
        <v>#REF!</v>
      </c>
      <c r="U98" s="533"/>
      <c r="V98" s="441" t="e">
        <f>MAX(V$89:V$90)+IF($B$2="mil",1,0.0254)*DDR2Specs!$B$3</f>
        <v>#REF!</v>
      </c>
      <c r="W98" s="441" t="e">
        <f>MIN(V$89:V$90)+IF($B$2="mil",1,0.0254)*DDR2Specs!$C$3</f>
        <v>#REF!</v>
      </c>
      <c r="X98" s="18"/>
      <c r="Y98" s="534" t="e">
        <f t="shared" si="164"/>
        <v>#REF!</v>
      </c>
      <c r="Z98" s="447" t="e">
        <f t="shared" si="165"/>
        <v>#REF!</v>
      </c>
      <c r="AA98" s="18"/>
      <c r="AB98" s="441" t="e">
        <f>MAX(AB$89:AB$90)+IF($B$2="mil",1,0.0254)*DDR2Specs!$E$3</f>
        <v>#REF!</v>
      </c>
      <c r="AC98" s="441" t="e">
        <f>MIN(AB$89:AB$90)+IF($B$2="mil",1,0.0254)*DDR2Specs!$F$3</f>
        <v>#REF!</v>
      </c>
      <c r="AD98" s="18"/>
      <c r="AE98" s="534" t="e">
        <f t="shared" si="149"/>
        <v>#REF!</v>
      </c>
      <c r="AF98" s="447" t="e">
        <f t="shared" si="150"/>
        <v>#REF!</v>
      </c>
      <c r="AG98" s="447" t="e">
        <f t="shared" si="151"/>
        <v>#REF!</v>
      </c>
      <c r="AH98" s="447" t="e">
        <f t="shared" si="152"/>
        <v>#REF!</v>
      </c>
      <c r="AI98" s="447" t="e">
        <f t="shared" si="153"/>
        <v>#REF!</v>
      </c>
      <c r="AJ98" s="447" t="e">
        <f t="shared" ca="1" si="154"/>
        <v>#NAME?</v>
      </c>
      <c r="AK98" s="447" t="e">
        <f t="shared" si="166"/>
        <v>#REF!</v>
      </c>
      <c r="AL98" s="447" t="e">
        <f t="shared" si="167"/>
        <v>#REF!</v>
      </c>
      <c r="AM98" s="447" t="e">
        <f t="shared" ca="1" si="155"/>
        <v>#NAME?</v>
      </c>
      <c r="AN98" s="447" t="e">
        <f t="shared" ca="1" si="156"/>
        <v>#NAME?</v>
      </c>
      <c r="AO98" s="447" t="e">
        <f t="shared" si="157"/>
        <v>#REF!</v>
      </c>
      <c r="AP98" s="447" t="e">
        <f t="shared" si="158"/>
        <v>#REF!</v>
      </c>
      <c r="AQ98" s="447" t="e">
        <f t="shared" si="159"/>
        <v>#REF!</v>
      </c>
      <c r="AR98" s="447" t="e">
        <f t="shared" si="160"/>
        <v>#REF!</v>
      </c>
      <c r="AS98" s="18"/>
      <c r="AT98" s="2" t="e">
        <f t="shared" ca="1" si="161"/>
        <v>#REF!</v>
      </c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</row>
    <row r="99" spans="1:62" x14ac:dyDescent="0.2">
      <c r="A99" s="92" t="s">
        <v>239</v>
      </c>
      <c r="B99" s="437" t="s">
        <v>163</v>
      </c>
      <c r="C99" s="584">
        <v>711.69291338582684</v>
      </c>
      <c r="D99" s="16"/>
      <c r="E99" s="17">
        <v>29.7</v>
      </c>
      <c r="F99" s="17">
        <v>0</v>
      </c>
      <c r="G99" s="393">
        <v>1729.64</v>
      </c>
      <c r="H99" s="271">
        <v>73.28</v>
      </c>
      <c r="I99" s="17">
        <v>0</v>
      </c>
      <c r="J99" s="271">
        <v>55.78</v>
      </c>
      <c r="K99" s="17">
        <v>40</v>
      </c>
      <c r="L99" s="271">
        <v>90.86</v>
      </c>
      <c r="M99" s="271">
        <v>994.12</v>
      </c>
      <c r="N99" s="271">
        <v>31.48</v>
      </c>
      <c r="O99" s="58"/>
      <c r="P99" s="441">
        <f t="shared" si="147"/>
        <v>1832.6200000000001</v>
      </c>
      <c r="Q99" s="441">
        <f t="shared" si="148"/>
        <v>2971.58</v>
      </c>
      <c r="R99" s="533"/>
      <c r="S99" s="441" t="e">
        <f t="shared" si="162"/>
        <v>#REF!</v>
      </c>
      <c r="T99" s="441" t="e">
        <f t="shared" si="163"/>
        <v>#REF!</v>
      </c>
      <c r="U99" s="533"/>
      <c r="V99" s="441" t="e">
        <f>MAX(V$89:V$90)+IF($B$2="mil",1,0.0254)*DDR2Specs!$B$3</f>
        <v>#REF!</v>
      </c>
      <c r="W99" s="441" t="e">
        <f>MIN(V$89:V$90)+IF($B$2="mil",1,0.0254)*DDR2Specs!$C$3</f>
        <v>#REF!</v>
      </c>
      <c r="X99" s="18"/>
      <c r="Y99" s="534" t="e">
        <f t="shared" si="164"/>
        <v>#REF!</v>
      </c>
      <c r="Z99" s="447" t="e">
        <f t="shared" si="165"/>
        <v>#REF!</v>
      </c>
      <c r="AA99" s="18"/>
      <c r="AB99" s="441" t="e">
        <f>MAX(AB$89:AB$90)+IF($B$2="mil",1,0.0254)*DDR2Specs!$E$3</f>
        <v>#REF!</v>
      </c>
      <c r="AC99" s="441" t="e">
        <f>MIN(AB$89:AB$90)+IF($B$2="mil",1,0.0254)*DDR2Specs!$F$3</f>
        <v>#REF!</v>
      </c>
      <c r="AD99" s="18"/>
      <c r="AE99" s="534" t="e">
        <f t="shared" si="149"/>
        <v>#REF!</v>
      </c>
      <c r="AF99" s="447" t="e">
        <f t="shared" si="150"/>
        <v>#REF!</v>
      </c>
      <c r="AG99" s="447" t="e">
        <f t="shared" si="151"/>
        <v>#REF!</v>
      </c>
      <c r="AH99" s="447" t="e">
        <f t="shared" si="152"/>
        <v>#REF!</v>
      </c>
      <c r="AI99" s="447" t="e">
        <f t="shared" si="153"/>
        <v>#REF!</v>
      </c>
      <c r="AJ99" s="447" t="e">
        <f t="shared" ca="1" si="154"/>
        <v>#NAME?</v>
      </c>
      <c r="AK99" s="447" t="e">
        <f t="shared" si="166"/>
        <v>#REF!</v>
      </c>
      <c r="AL99" s="447" t="e">
        <f t="shared" si="167"/>
        <v>#REF!</v>
      </c>
      <c r="AM99" s="447" t="e">
        <f t="shared" ca="1" si="155"/>
        <v>#NAME?</v>
      </c>
      <c r="AN99" s="447" t="e">
        <f t="shared" ca="1" si="156"/>
        <v>#NAME?</v>
      </c>
      <c r="AO99" s="447" t="e">
        <f t="shared" si="157"/>
        <v>#REF!</v>
      </c>
      <c r="AP99" s="447" t="e">
        <f t="shared" si="158"/>
        <v>#REF!</v>
      </c>
      <c r="AQ99" s="447" t="e">
        <f t="shared" si="159"/>
        <v>#REF!</v>
      </c>
      <c r="AR99" s="447" t="e">
        <f t="shared" si="160"/>
        <v>#REF!</v>
      </c>
      <c r="AS99" s="18"/>
      <c r="AT99" s="2" t="e">
        <f t="shared" ca="1" si="161"/>
        <v>#REF!</v>
      </c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</row>
    <row r="100" spans="1:62" ht="12.75" customHeight="1" x14ac:dyDescent="0.2">
      <c r="A100" s="99"/>
      <c r="B100" s="440"/>
      <c r="C100" s="111"/>
      <c r="D100" s="70"/>
      <c r="E100" s="71"/>
      <c r="F100" s="71"/>
      <c r="G100" s="71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544"/>
      <c r="S100" s="71"/>
      <c r="T100" s="71"/>
      <c r="U100" s="544"/>
      <c r="V100" s="71"/>
      <c r="W100" s="71"/>
      <c r="X100" s="71"/>
      <c r="Y100" s="545"/>
      <c r="Z100" s="546"/>
      <c r="AA100" s="71"/>
      <c r="AB100" s="71"/>
      <c r="AC100" s="71"/>
      <c r="AD100" s="71"/>
      <c r="AE100" s="545"/>
      <c r="AF100" s="546"/>
      <c r="AG100" s="546"/>
      <c r="AH100" s="547"/>
      <c r="AI100" s="548"/>
      <c r="AJ100" s="548"/>
      <c r="AK100" s="548"/>
      <c r="AL100" s="548"/>
      <c r="AM100" s="548"/>
      <c r="AN100" s="548"/>
      <c r="AO100" s="548"/>
      <c r="AP100" s="548"/>
      <c r="AQ100" s="548"/>
      <c r="AR100" s="548"/>
      <c r="AS100" s="18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</row>
    <row r="101" spans="1:62" ht="25.5" x14ac:dyDescent="0.35">
      <c r="A101" s="39" t="s">
        <v>57</v>
      </c>
    </row>
    <row r="103" spans="1:62" x14ac:dyDescent="0.2">
      <c r="Q103"/>
      <c r="S103"/>
      <c r="U103" s="4"/>
      <c r="X103" s="3"/>
      <c r="Z103" s="4"/>
      <c r="AD103" s="3"/>
      <c r="AF103" s="4"/>
      <c r="AH103" s="22"/>
      <c r="AU103" s="4"/>
      <c r="AV103" s="22"/>
      <c r="BB103" s="4"/>
      <c r="BC103" s="22"/>
      <c r="BF103" s="4"/>
      <c r="BG103" s="22"/>
      <c r="BJ103" s="2"/>
    </row>
    <row r="104" spans="1:62" x14ac:dyDescent="0.2">
      <c r="Q104"/>
      <c r="S104" s="4"/>
      <c r="T104" s="4"/>
      <c r="U104" s="4"/>
      <c r="V104" s="3"/>
      <c r="W104" s="3"/>
      <c r="Y104" s="4"/>
      <c r="Z104" s="4"/>
      <c r="AB104" s="3"/>
      <c r="AC104" s="3"/>
      <c r="AE104" s="4"/>
      <c r="AF104" s="22"/>
      <c r="AG104" s="22"/>
      <c r="AH104" s="22"/>
      <c r="AS104" s="4"/>
      <c r="AV104" s="22"/>
      <c r="AZ104" s="4"/>
      <c r="BC104" s="22"/>
      <c r="BD104" s="4"/>
      <c r="BG104" s="22"/>
      <c r="BH104" s="2"/>
      <c r="BI104" s="2"/>
      <c r="BJ104" s="2"/>
    </row>
    <row r="105" spans="1:62" x14ac:dyDescent="0.2">
      <c r="Q105"/>
      <c r="S105" s="4"/>
      <c r="T105" s="4"/>
      <c r="U105" s="4"/>
      <c r="V105" s="3"/>
      <c r="W105" s="3"/>
      <c r="Y105" s="4"/>
      <c r="Z105" s="4"/>
      <c r="AB105" s="3"/>
      <c r="AC105" s="3"/>
      <c r="AE105" s="4"/>
      <c r="AF105" s="22"/>
      <c r="AG105" s="22"/>
      <c r="AH105" s="22"/>
      <c r="AS105" s="4"/>
      <c r="AV105" s="22"/>
      <c r="AZ105" s="4"/>
      <c r="BC105" s="22"/>
      <c r="BD105" s="4"/>
      <c r="BG105" s="22"/>
      <c r="BH105" s="2"/>
      <c r="BI105" s="2"/>
      <c r="BJ105" s="2"/>
    </row>
    <row r="106" spans="1:62" x14ac:dyDescent="0.2">
      <c r="H106" s="2"/>
      <c r="I106" s="2"/>
      <c r="J106" s="2"/>
      <c r="K106" s="2"/>
      <c r="L106" s="2"/>
      <c r="M106" s="2"/>
      <c r="N106" s="2"/>
      <c r="P106" s="2"/>
      <c r="Q106"/>
      <c r="S106"/>
      <c r="U106" s="4"/>
      <c r="X106" s="3"/>
      <c r="Z106" s="4"/>
      <c r="AD106" s="3"/>
      <c r="AF106" s="4"/>
      <c r="AH106" s="22"/>
      <c r="AU106" s="4"/>
      <c r="AV106" s="22"/>
      <c r="BB106" s="4"/>
      <c r="BC106" s="22"/>
      <c r="BF106" s="4"/>
      <c r="BG106" s="22"/>
      <c r="BJ106" s="2"/>
    </row>
    <row r="107" spans="1:62" x14ac:dyDescent="0.2">
      <c r="Q107"/>
      <c r="S107"/>
      <c r="U107" s="4"/>
      <c r="X107" s="3"/>
      <c r="Z107" s="4"/>
      <c r="AD107" s="3"/>
      <c r="AF107" s="4"/>
      <c r="AH107" s="22"/>
      <c r="AU107" s="4"/>
      <c r="AV107" s="22"/>
      <c r="BB107" s="4"/>
      <c r="BC107" s="22"/>
      <c r="BF107" s="4"/>
      <c r="BG107" s="22"/>
      <c r="BJ107" s="2"/>
    </row>
    <row r="108" spans="1:62" x14ac:dyDescent="0.2">
      <c r="Q108"/>
      <c r="S108"/>
      <c r="U108" s="4"/>
      <c r="X108" s="3"/>
      <c r="Z108" s="4"/>
      <c r="AD108" s="3"/>
      <c r="AF108" s="4"/>
      <c r="AH108" s="22"/>
      <c r="AU108" s="4"/>
      <c r="AV108" s="22"/>
      <c r="BB108" s="4"/>
      <c r="BC108" s="22"/>
      <c r="BF108" s="4"/>
      <c r="BG108" s="22"/>
      <c r="BJ108" s="2"/>
    </row>
    <row r="109" spans="1:62" x14ac:dyDescent="0.2">
      <c r="Q109"/>
      <c r="S109"/>
      <c r="U109" s="4"/>
      <c r="X109" s="3"/>
      <c r="Z109" s="4"/>
      <c r="AD109" s="3"/>
      <c r="AF109" s="4"/>
      <c r="AH109" s="22"/>
      <c r="AU109" s="4"/>
      <c r="AV109" s="22"/>
      <c r="BB109" s="4"/>
      <c r="BC109" s="22"/>
      <c r="BF109" s="4"/>
      <c r="BG109" s="22"/>
      <c r="BJ109" s="2"/>
    </row>
    <row r="110" spans="1:62" x14ac:dyDescent="0.2">
      <c r="Q110"/>
      <c r="S110"/>
      <c r="U110" s="4"/>
      <c r="X110" s="3"/>
      <c r="Z110" s="4"/>
      <c r="AD110" s="3"/>
      <c r="AF110" s="4"/>
      <c r="AH110" s="22"/>
      <c r="AU110" s="4"/>
      <c r="AV110" s="22"/>
      <c r="BB110" s="4"/>
      <c r="BC110" s="22"/>
      <c r="BF110" s="4"/>
      <c r="BG110" s="22"/>
      <c r="BJ110" s="2"/>
    </row>
    <row r="111" spans="1:62" x14ac:dyDescent="0.2">
      <c r="U111" s="4"/>
      <c r="X111" s="3"/>
      <c r="Z111" s="4"/>
      <c r="AD111" s="3"/>
      <c r="AF111" s="4"/>
      <c r="AH111" s="22"/>
      <c r="AU111" s="4"/>
      <c r="AV111" s="22"/>
      <c r="BB111" s="4"/>
      <c r="BC111" s="22"/>
      <c r="BF111" s="4"/>
      <c r="BG111" s="22"/>
      <c r="BJ111" s="2"/>
    </row>
  </sheetData>
  <protectedRanges>
    <protectedRange sqref="E91:N99 E19:N27 E31:N39 E43:N51 E55:N63 E67:N75 E79:N87 E7:N15" name="DDR2Data_1L"/>
  </protectedRanges>
  <mergeCells count="2">
    <mergeCell ref="A1:D1"/>
    <mergeCell ref="E1:F1"/>
  </mergeCells>
  <phoneticPr fontId="4" type="noConversion"/>
  <conditionalFormatting sqref="A1:AS1">
    <cfRule type="expression" dxfId="54" priority="7" stopIfTrue="1">
      <formula>$E$1 = "Fail"</formula>
    </cfRule>
    <cfRule type="expression" dxfId="53" priority="8" stopIfTrue="1">
      <formula>$E$1 = "Pass"</formula>
    </cfRule>
  </conditionalFormatting>
  <conditionalFormatting sqref="S7:T15 S19:T27 S31:T39 S43:T51 S55:T63 S67:T75 S79:T87 S91:T99">
    <cfRule type="cellIs" dxfId="52" priority="5" stopIfTrue="1" operator="greaterThan">
      <formula>4000</formula>
    </cfRule>
    <cfRule type="cellIs" dxfId="51" priority="6" stopIfTrue="1" operator="lessThan">
      <formula>4000</formula>
    </cfRule>
  </conditionalFormatting>
  <conditionalFormatting sqref="Y7:Z15 AE7:AF15 Y19:Z27 AE19:AF27 Y31:Z39 AE31:AF39 Y43:Z51 AE43:AF51 Y55:Z63 AE55:AF63 Y67:Z75 AE67:AF75 Y79:Z87 AE79:AF87 Y91:Z99 AE91:AF99">
    <cfRule type="cellIs" priority="3" stopIfTrue="1" operator="equal">
      <formula>"Pass"</formula>
    </cfRule>
    <cfRule type="cellIs" dxfId="50" priority="4" stopIfTrue="1" operator="notEqual">
      <formula>"Pass"</formula>
    </cfRule>
  </conditionalFormatting>
  <conditionalFormatting sqref="AG7:AR15 AG19:AR27 AG31:AR39 AG43:AR51 AG55:AR63 AG67:AR75 AG79:AR87 AG91:AR99">
    <cfRule type="cellIs" dxfId="49" priority="1" stopIfTrue="1" operator="equal">
      <formula>"Pass"</formula>
    </cfRule>
    <cfRule type="cellIs" dxfId="48" priority="2" stopIfTrue="1" operator="notEqual">
      <formula>"Pass"</formula>
    </cfRule>
  </conditionalFormatting>
  <pageMargins left="0.75" right="0.75" top="1" bottom="1" header="0.5" footer="0.5"/>
  <pageSetup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Visio.Drawing.11" shapeId="7174" r:id="rId4">
          <objectPr defaultSize="0" autoPict="0" r:id="rId5">
            <anchor moveWithCells="1">
              <from>
                <xdr:col>1</xdr:col>
                <xdr:colOff>85725</xdr:colOff>
                <xdr:row>103</xdr:row>
                <xdr:rowOff>0</xdr:rowOff>
              </from>
              <to>
                <xdr:col>13</xdr:col>
                <xdr:colOff>38100</xdr:colOff>
                <xdr:row>116</xdr:row>
                <xdr:rowOff>123825</xdr:rowOff>
              </to>
            </anchor>
          </objectPr>
        </oleObject>
      </mc:Choice>
      <mc:Fallback>
        <oleObject progId="Visio.Drawing.11" shapeId="7174" r:id="rId4"/>
      </mc:Fallback>
    </mc:AlternateContent>
  </oleObjects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2"/>
  <dimension ref="A1:BM217"/>
  <sheetViews>
    <sheetView zoomScale="75" workbookViewId="0">
      <selection activeCell="AS27" sqref="AS27"/>
    </sheetView>
  </sheetViews>
  <sheetFormatPr defaultRowHeight="12.75" x14ac:dyDescent="0.2"/>
  <cols>
    <col min="1" max="1" width="15.140625" style="4" customWidth="1"/>
    <col min="2" max="2" width="10.28515625" style="22" customWidth="1"/>
    <col min="3" max="3" width="10.7109375" style="20" customWidth="1"/>
    <col min="4" max="4" width="1" style="3" customWidth="1"/>
    <col min="5" max="5" width="11.28515625" style="4" customWidth="1"/>
    <col min="6" max="6" width="12.42578125" style="4" customWidth="1"/>
    <col min="7" max="7" width="10.140625" style="3" customWidth="1"/>
    <col min="8" max="12" width="12" style="3" customWidth="1"/>
    <col min="13" max="15" width="16.42578125" style="3" customWidth="1"/>
    <col min="16" max="16" width="15.42578125" style="3" customWidth="1"/>
    <col min="17" max="18" width="1.140625" style="4" customWidth="1"/>
    <col min="19" max="19" width="27" style="3" customWidth="1"/>
    <col min="20" max="20" width="27" style="20" customWidth="1"/>
    <col min="21" max="21" width="11.140625" style="4" customWidth="1"/>
    <col min="22" max="22" width="13.5703125" style="4" customWidth="1"/>
    <col min="23" max="23" width="1" style="4" customWidth="1"/>
    <col min="24" max="24" width="13.7109375" style="3" customWidth="1"/>
    <col min="25" max="25" width="14.28515625" style="3" customWidth="1"/>
    <col min="26" max="26" width="1.140625" style="4" customWidth="1"/>
    <col min="27" max="27" width="27" style="3" customWidth="1"/>
    <col min="28" max="28" width="27" style="20" customWidth="1"/>
    <col min="29" max="29" width="11.140625" style="4" customWidth="1"/>
    <col min="30" max="30" width="13.5703125" style="4" customWidth="1"/>
    <col min="31" max="31" width="1" style="4" customWidth="1"/>
    <col min="32" max="32" width="13.7109375" style="3" customWidth="1"/>
    <col min="33" max="33" width="14.28515625" style="3" customWidth="1"/>
    <col min="34" max="34" width="1" style="4" customWidth="1"/>
    <col min="35" max="35" width="14.28515625" style="4" customWidth="1"/>
    <col min="36" max="36" width="13.7109375" style="4" customWidth="1"/>
    <col min="37" max="39" width="14.28515625" style="22" customWidth="1"/>
    <col min="40" max="40" width="15.5703125" style="22" customWidth="1"/>
    <col min="41" max="42" width="14.28515625" style="22" customWidth="1"/>
    <col min="43" max="43" width="27.85546875" style="22" customWidth="1"/>
    <col min="44" max="45" width="18" style="22" customWidth="1"/>
    <col min="46" max="47" width="19.42578125" style="22" customWidth="1"/>
    <col min="48" max="48" width="0.85546875" style="22" customWidth="1"/>
    <col min="49" max="49" width="17.85546875" style="22" customWidth="1"/>
    <col min="50" max="50" width="21.140625" style="22" customWidth="1"/>
    <col min="51" max="51" width="2.140625" style="4" customWidth="1"/>
    <col min="52" max="52" width="11.42578125" style="22" customWidth="1"/>
    <col min="53" max="53" width="11.28515625" style="22" customWidth="1"/>
    <col min="54" max="54" width="16.28515625" style="22" customWidth="1"/>
    <col min="55" max="55" width="11.42578125" style="22" customWidth="1"/>
    <col min="56" max="56" width="11.28515625" style="22" customWidth="1"/>
    <col min="57" max="57" width="16.28515625" style="22" customWidth="1"/>
    <col min="58" max="58" width="11.85546875" style="4" customWidth="1"/>
    <col min="59" max="59" width="11.28515625" style="22" customWidth="1"/>
    <col min="60" max="60" width="11.42578125" style="22" customWidth="1"/>
    <col min="61" max="61" width="16.28515625" style="22" customWidth="1"/>
    <col min="62" max="62" width="12.85546875" style="4" customWidth="1"/>
    <col min="63" max="63" width="11.28515625" style="22" customWidth="1"/>
    <col min="64" max="64" width="11.42578125" style="22" customWidth="1"/>
    <col min="65" max="65" width="16.28515625" style="22" customWidth="1"/>
    <col min="66" max="16384" width="9.140625" style="2"/>
  </cols>
  <sheetData>
    <row r="1" spans="1:65" ht="26.25" x14ac:dyDescent="0.2">
      <c r="A1" s="1001" t="s">
        <v>156</v>
      </c>
      <c r="B1" s="1003"/>
      <c r="C1" s="1003"/>
      <c r="D1" s="1003"/>
      <c r="E1" s="1002" t="e">
        <f ca="1">IF(AND(AX7="Pass",AX19="Pass",AX31="Pass",AX43="Pass",AX55="Pass",AX67="Pass",AX79="Pass"),"Pass","Fail")</f>
        <v>#REF!</v>
      </c>
      <c r="F1" s="100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AY1" s="2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</row>
    <row r="2" spans="1:65" customFormat="1" ht="18" x14ac:dyDescent="0.2">
      <c r="A2" s="81" t="s">
        <v>58</v>
      </c>
      <c r="B2" s="269" t="e">
        <f>'DDR2 Clocks - 2L'!B2</f>
        <v>#REF!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</row>
    <row r="3" spans="1:65" s="41" customFormat="1" ht="87.75" customHeight="1" x14ac:dyDescent="0.2">
      <c r="A3" s="86" t="s">
        <v>494</v>
      </c>
      <c r="B3" s="86" t="s">
        <v>511</v>
      </c>
      <c r="C3" s="88" t="s">
        <v>512</v>
      </c>
      <c r="D3" s="88"/>
      <c r="E3" s="87" t="e">
        <f>"Escape       Length L0 ["&amp;$B$2&amp;"]"</f>
        <v>#REF!</v>
      </c>
      <c r="F3" s="87" t="e">
        <f>"Breakout Length L1  ["&amp;$B$2&amp;"]"</f>
        <v>#REF!</v>
      </c>
      <c r="G3" s="87" t="e">
        <f>"Main      Length L2  ["&amp;$B$2&amp;"]"</f>
        <v>#REF!</v>
      </c>
      <c r="H3" s="107" t="e">
        <f>"Stripline Route to Rs L3 ["&amp;$B$2&amp;"]"</f>
        <v>#REF!</v>
      </c>
      <c r="I3" s="107" t="e">
        <f>"Breakin to Rs L4 ["&amp;$B$2&amp;"]"</f>
        <v>#REF!</v>
      </c>
      <c r="J3" s="107" t="e">
        <f>"Rs length ["&amp;$B$2&amp;"]"</f>
        <v>#REF!</v>
      </c>
      <c r="K3" s="107" t="e">
        <f>"Breakout from Rs L5 ["&amp;$B$2&amp;"]"</f>
        <v>#REF!</v>
      </c>
      <c r="L3" s="107" t="e">
        <f>"Stripline between Rs and SDRAM L6 ["&amp;$B$2&amp;"]"</f>
        <v>#REF!</v>
      </c>
      <c r="M3" s="107" t="e">
        <f>"Breakin to SDRAM L7-1 ["&amp;$B$2&amp;"]"</f>
        <v>#REF!</v>
      </c>
      <c r="N3" s="107" t="e">
        <f>"Breakin to SDRAM L7-2 ["&amp;$B$2&amp;"]"</f>
        <v>#REF!</v>
      </c>
      <c r="O3" s="107" t="e">
        <f>"Breakin to SDRAM L8-1 ["&amp;$B$2&amp;"]"</f>
        <v>#REF!</v>
      </c>
      <c r="P3" s="107" t="e">
        <f>"Breakin to SDRAM L8-2 ["&amp;$B$2&amp;"]"</f>
        <v>#REF!</v>
      </c>
      <c r="Q3" s="107"/>
      <c r="R3" s="5"/>
      <c r="S3" s="532" t="e">
        <f>"Total MB Length to SDRAM (L0+L1+L2+L3+L4+Rs+L5+L6+L7-1+L8-1)  ["&amp;$B$2&amp;"]"</f>
        <v>#REF!</v>
      </c>
      <c r="T3" s="532" t="e">
        <f>"Total MB Length to SDRAM (P0+L0+L1+L2+L3+L4+Rs+L5+L6+L7-1+L8-1)  ["&amp;$B$2&amp;"]"</f>
        <v>#REF!</v>
      </c>
      <c r="U3" s="5" t="e">
        <f>"Target Min Length to SDRAM (U1-U4)
["&amp;$B$2&amp;"]"</f>
        <v>#REF!</v>
      </c>
      <c r="V3" s="5" t="e">
        <f>"Target Max Length to SDRAM (U1-U4) 
["&amp;$B$2&amp;"]"</f>
        <v>#REF!</v>
      </c>
      <c r="W3" s="5"/>
      <c r="X3" s="5" t="e">
        <f>"Length to SDRAM (U1-U4) Routed Too Short  ["&amp;$B$2&amp;"]"</f>
        <v>#REF!</v>
      </c>
      <c r="Y3" s="5" t="e">
        <f>"Length to SDRAM (U1-U4) Routed Too Long  ["&amp;$B$2&amp;"]"</f>
        <v>#REF!</v>
      </c>
      <c r="Z3" s="5"/>
      <c r="AA3" s="532" t="e">
        <f>"Total MB Length to SDRAM (L0+L1+L2+L3+L4+Rs+L5+L6+L7-2+L8-2)  ["&amp;$B$2&amp;"]"</f>
        <v>#REF!</v>
      </c>
      <c r="AB3" s="532" t="e">
        <f>"Total MB Length to SDRAM (P0+L0+L1+L2+L3+L4+Rs+L5+L6+L7-2+L8-2)  ["&amp;$B$2&amp;"]"</f>
        <v>#REF!</v>
      </c>
      <c r="AC3" s="5" t="e">
        <f>"Target Min Length to SDRAM (U5-U8)
["&amp;$B$2&amp;"]"</f>
        <v>#REF!</v>
      </c>
      <c r="AD3" s="5" t="e">
        <f>"Target Max Length to SDRAM (U5-U8) 
["&amp;$B$2&amp;"]"</f>
        <v>#REF!</v>
      </c>
      <c r="AE3" s="5"/>
      <c r="AF3" s="5" t="e">
        <f>"Length to SDRAM (U5-U8) Routed Too Short  ["&amp;$B$2&amp;"]"</f>
        <v>#REF!</v>
      </c>
      <c r="AG3" s="5" t="e">
        <f>"Length to SDRAM (U5-U8) Routed Too Long ["&amp;$B$2&amp;"]"</f>
        <v>#REF!</v>
      </c>
      <c r="AH3" s="5"/>
      <c r="AI3" s="5" t="e">
        <f>"L0 Length Test (&lt;="&amp;IF($B$2="mil",1,0.0254)*50&amp;$B$2&amp;")"</f>
        <v>#REF!</v>
      </c>
      <c r="AJ3" s="5" t="e">
        <f>"L1 Length Test (&lt;="&amp;IF($B$2="mil",1,0.0254)*500&amp;$B$2&amp;")"</f>
        <v>#REF!</v>
      </c>
      <c r="AK3" s="5" t="e">
        <f>"L2 Length Test (&lt;="&amp;IF($B$2="mil",1,0.0254)*2000&amp;$B$2&amp;" or L2 + L3 &lt;= "&amp;IF($B$2="mil",1,0.0254)*2750&amp;$B$2&amp;")"</f>
        <v>#REF!</v>
      </c>
      <c r="AL3" s="5" t="e">
        <f>"L4 Length Test (&lt;="&amp;IF($B$2="mil",1,0.0254)*125&amp;$B$2&amp;")"</f>
        <v>#REF!</v>
      </c>
      <c r="AM3" s="5" t="e">
        <f>"L5 Length Test (&lt;="&amp;IF($B$2="mil",1,0.0254)*125&amp;$B$2&amp;")"</f>
        <v>#REF!</v>
      </c>
      <c r="AN3" s="5" t="e">
        <f>"L6 Length Test (&lt;="&amp;IF($B$2="mil",1,0.0254)*1200&amp;$B$2&amp;" or L5+L6 &lt;="&amp;IF($B$2="mil",1,0.0254)*1350&amp;$B$2&amp;")"</f>
        <v>#REF!</v>
      </c>
      <c r="AO3" s="5" t="e">
        <f>"L7-1 Length Test (&lt;="&amp;IF($B$2="mil",1,0.0254)*650&amp;$B$2&amp;")"</f>
        <v>#REF!</v>
      </c>
      <c r="AP3" s="5" t="e">
        <f>"L7-2 Length Test (&lt;="&amp;IF($B$2="mil",1,0.0254)*650&amp;$B$2&amp;")"</f>
        <v>#REF!</v>
      </c>
      <c r="AQ3" s="5" t="e">
        <f>"L7 Matching Test (Maximum L7 - Minimum L7 &lt;="&amp;IF($B$2="mil",1,0.0254)*50&amp;IF($B$2="mil","mil","mm")&amp;")"</f>
        <v>#REF!</v>
      </c>
      <c r="AR3" s="5" t="e">
        <f>"L8-1 Length Test (&lt;="&amp;IF($B$2="mil",1,0.0254)*150&amp;$B$2&amp;") or (L7-1+L8-1 &lt;= "&amp;IF($B$2="mil",1,0.0254)*800&amp;$B$2&amp;")"</f>
        <v>#REF!</v>
      </c>
      <c r="AS3" s="5" t="e">
        <f>"L8-2 Length Test (&lt;="&amp;IF($B$2="mil",1,0.0254)*150&amp;$B$2&amp;") or (L7-2+L8-2 &lt;= "&amp;IF($B$2="mil",1,0.0254)*800&amp;$B$2&amp;")"</f>
        <v>#REF!</v>
      </c>
      <c r="AT3" s="5" t="e">
        <f>"Total MB Length to SDRAM (L0+L1+L2+L3+L4+Rs+L5+L6+L7+L8) Test
 "&amp;IF($B$2="mil","(500-5500mil)","(12.7-114.3mm)")</f>
        <v>#REF!</v>
      </c>
      <c r="AU3" s="5" t="e">
        <f>"Total Length to SDRAM (P0+L0+L1+L2+L3+L4+Rs+L5+L6+L7+L8) Test
 (&lt;="&amp; IF($B$2="mil","6000mil","127mm")&amp;")"</f>
        <v>#REF!</v>
      </c>
      <c r="AV3" s="5"/>
    </row>
    <row r="4" spans="1:65" x14ac:dyDescent="0.2">
      <c r="A4" s="94" t="s">
        <v>245</v>
      </c>
      <c r="B4" s="438"/>
      <c r="C4" s="109"/>
      <c r="D4" s="8"/>
      <c r="E4" s="8"/>
      <c r="F4" s="19"/>
      <c r="G4" s="7"/>
      <c r="H4" s="7"/>
      <c r="I4" s="7"/>
      <c r="J4" s="7"/>
      <c r="K4" s="7"/>
      <c r="L4" s="7"/>
      <c r="M4" s="7"/>
      <c r="N4" s="7"/>
      <c r="O4" s="7"/>
      <c r="P4" s="8"/>
      <c r="Q4" s="8"/>
      <c r="R4" s="8"/>
      <c r="S4" s="7"/>
      <c r="T4" s="8"/>
      <c r="U4" s="42"/>
      <c r="V4" s="8"/>
      <c r="W4" s="8"/>
      <c r="X4" s="13"/>
      <c r="Y4" s="15"/>
      <c r="Z4" s="8"/>
      <c r="AA4" s="7"/>
      <c r="AB4" s="8"/>
      <c r="AC4" s="42"/>
      <c r="AD4" s="8"/>
      <c r="AE4" s="8"/>
      <c r="AF4" s="13"/>
      <c r="AG4" s="15"/>
      <c r="AH4" s="8"/>
      <c r="AI4" s="15"/>
      <c r="AJ4" s="15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0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</row>
    <row r="5" spans="1:65" x14ac:dyDescent="0.2">
      <c r="A5" s="103" t="str">
        <f>'DDR2 Strobes - 2x16'!$A$7</f>
        <v>SA_DQS0</v>
      </c>
      <c r="B5" s="112" t="str">
        <f>'DDR2 Strobes - 2x16'!$B$7</f>
        <v>Y25</v>
      </c>
      <c r="C5" s="110"/>
      <c r="D5" s="44"/>
      <c r="E5" s="66"/>
      <c r="F5" s="66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  <c r="R5" s="48"/>
      <c r="S5" s="67"/>
      <c r="T5" s="48"/>
      <c r="U5" s="48" t="e">
        <f>'DDR2 Strobes - 2x16'!$U$7</f>
        <v>#REF!</v>
      </c>
      <c r="V5" s="48"/>
      <c r="W5" s="48"/>
      <c r="X5" s="48"/>
      <c r="Y5" s="535"/>
      <c r="Z5" s="48"/>
      <c r="AA5" s="67"/>
      <c r="AB5" s="48"/>
      <c r="AC5" s="48" t="e">
        <f>'DDR2 Strobes - 2x16'!$AC$7</f>
        <v>#REF!</v>
      </c>
      <c r="AD5" s="48"/>
      <c r="AE5" s="48"/>
      <c r="AF5" s="48"/>
      <c r="AG5" s="535"/>
      <c r="AH5" s="48"/>
      <c r="AI5" s="535"/>
      <c r="AJ5" s="535"/>
      <c r="AK5" s="535"/>
      <c r="AL5" s="535"/>
      <c r="AM5" s="535"/>
      <c r="AN5" s="535"/>
      <c r="AO5" s="535"/>
      <c r="AP5" s="535"/>
      <c r="AQ5" s="535"/>
      <c r="AR5" s="535"/>
      <c r="AS5" s="535"/>
      <c r="AT5" s="535"/>
      <c r="AU5" s="535"/>
      <c r="AV5" s="48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</row>
    <row r="6" spans="1:65" x14ac:dyDescent="0.2">
      <c r="A6" s="103" t="str">
        <f>'DDR2 Strobes - 2x16'!$A$8</f>
        <v>SA_DQS0#</v>
      </c>
      <c r="B6" s="112" t="str">
        <f>'DDR2 Strobes - 2x16'!$B$8</f>
        <v>W24</v>
      </c>
      <c r="C6" s="110"/>
      <c r="D6" s="44"/>
      <c r="E6" s="66"/>
      <c r="F6" s="66"/>
      <c r="G6" s="261"/>
      <c r="H6" s="67"/>
      <c r="I6" s="67"/>
      <c r="J6" s="67"/>
      <c r="K6" s="67"/>
      <c r="L6" s="67"/>
      <c r="M6" s="67"/>
      <c r="N6" s="67"/>
      <c r="O6" s="67"/>
      <c r="P6" s="67"/>
      <c r="Q6" s="67"/>
      <c r="R6" s="48"/>
      <c r="S6" s="536"/>
      <c r="T6" s="537"/>
      <c r="U6" s="48" t="e">
        <f>'DDR2 Strobes - 2x16'!$U$8</f>
        <v>#REF!</v>
      </c>
      <c r="V6" s="48"/>
      <c r="W6" s="48"/>
      <c r="X6" s="48"/>
      <c r="Y6" s="535"/>
      <c r="Z6" s="48"/>
      <c r="AA6" s="536"/>
      <c r="AB6" s="537"/>
      <c r="AC6" s="48" t="e">
        <f>'DDR2 Strobes - 2x16'!$AC$8</f>
        <v>#REF!</v>
      </c>
      <c r="AD6" s="48"/>
      <c r="AE6" s="48"/>
      <c r="AF6" s="48"/>
      <c r="AG6" s="535"/>
      <c r="AH6" s="48"/>
      <c r="AI6" s="535"/>
      <c r="AJ6" s="535"/>
      <c r="AK6" s="538"/>
      <c r="AL6" s="538"/>
      <c r="AM6" s="538"/>
      <c r="AN6" s="538"/>
      <c r="AO6" s="538"/>
      <c r="AP6" s="538"/>
      <c r="AQ6" s="538"/>
      <c r="AR6" s="538"/>
      <c r="AS6" s="538"/>
      <c r="AT6" s="538"/>
      <c r="AU6" s="538"/>
      <c r="AV6" s="48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</row>
    <row r="7" spans="1:65" x14ac:dyDescent="0.2">
      <c r="A7" s="560" t="s">
        <v>169</v>
      </c>
      <c r="B7" s="589" t="s">
        <v>550</v>
      </c>
      <c r="C7" s="584">
        <v>385.1968503937008</v>
      </c>
      <c r="D7" s="16"/>
      <c r="E7" s="17">
        <v>22.63</v>
      </c>
      <c r="F7" s="17">
        <v>0</v>
      </c>
      <c r="G7">
        <v>1165</v>
      </c>
      <c r="H7">
        <v>779.42</v>
      </c>
      <c r="I7">
        <v>78</v>
      </c>
      <c r="J7" s="17">
        <v>40</v>
      </c>
      <c r="K7">
        <v>43.4</v>
      </c>
      <c r="L7">
        <v>1122.3699999999999</v>
      </c>
      <c r="M7" s="271">
        <v>0</v>
      </c>
      <c r="N7" s="271">
        <v>0</v>
      </c>
      <c r="O7">
        <v>108.87</v>
      </c>
      <c r="P7">
        <v>118</v>
      </c>
      <c r="Q7" s="58"/>
      <c r="R7" s="18"/>
      <c r="S7" s="441">
        <f t="shared" ref="S7:S15" si="0">SUM(E7:G7,H7:M7,O7)</f>
        <v>3359.69</v>
      </c>
      <c r="T7" s="441" t="e">
        <f>S7+IF($B$2="mil",1,0.0254)*$C7</f>
        <v>#REF!</v>
      </c>
      <c r="U7" s="441" t="e">
        <f>MAX(U$5:U$6)+IF($B$2="mil",1,0.0254)*DDR2Specs!$E$3</f>
        <v>#REF!</v>
      </c>
      <c r="V7" s="441" t="e">
        <f>MIN(U$5:U$6)+IF($B$2="mil",1,0.0254)*DDR2Specs!$F$3</f>
        <v>#REF!</v>
      </c>
      <c r="W7" s="18"/>
      <c r="X7" s="534" t="e">
        <f t="shared" ref="X7:X15" si="1">IF($T7&lt;$U7,$U7-$T7,"Pass")</f>
        <v>#REF!</v>
      </c>
      <c r="Y7" s="447" t="e">
        <f t="shared" ref="Y7:Y15" si="2">IF($T7&gt;$V7,$T7-$V7,"Pass")</f>
        <v>#REF!</v>
      </c>
      <c r="Z7" s="18"/>
      <c r="AA7" s="441">
        <f t="shared" ref="AA7:AA15" si="3">SUM(E7:G7,H7:L7,N7,P7)</f>
        <v>3368.82</v>
      </c>
      <c r="AB7" s="441" t="e">
        <f>AA7+IF($B$2="mil",1,0.0254)*$C7</f>
        <v>#REF!</v>
      </c>
      <c r="AC7" s="441" t="e">
        <f>MAX(AC$5:AC$6)+IF($B$2="mil",1,0.0254)*DDR2Specs!$E$3</f>
        <v>#REF!</v>
      </c>
      <c r="AD7" s="441" t="e">
        <f>MIN(AC$5:AC$6)+IF($B$2="mil",1,0.0254)*DDR2Specs!$F$3</f>
        <v>#REF!</v>
      </c>
      <c r="AE7" s="18"/>
      <c r="AF7" s="534" t="e">
        <f>IF($AB7&lt;$AC7,$AC7-$AB7,"Pass")</f>
        <v>#REF!</v>
      </c>
      <c r="AG7" s="447" t="e">
        <f>IF($AB7&gt;$AD7,$AB7-$AD7,"Pass")</f>
        <v>#REF!</v>
      </c>
      <c r="AH7" s="18"/>
      <c r="AI7" s="447" t="e">
        <f>IF($E7&lt;=IF($B$2="mil",1,0.0254)*50,"Pass",IF($B$2="mil",1,0.0254)*50-$E7)</f>
        <v>#REF!</v>
      </c>
      <c r="AJ7" s="447" t="e">
        <f>IF($F7&lt;=IF($B$2="mil",1,0.0254)*500,"Pass",IF($B$2="mil",1,0.0254)*500-$F7)</f>
        <v>#REF!</v>
      </c>
      <c r="AK7" s="447" t="e">
        <f t="shared" ref="AK7:AK15" si="4">IF(($G7+$H7)&lt;=IF($B$2="mil",1,0.0254)*2750,"Pass",IF($B$2="mil",1,0.0254)*2750-($G7+D7))</f>
        <v>#REF!</v>
      </c>
      <c r="AL7" s="447" t="e">
        <f t="shared" ref="AL7:AL15" si="5">IF($I7&lt;=IF($B$2="mil",1,0.0254)*125,"Pass",IF($B$2="mil",1,0.0254)*125-$I7)</f>
        <v>#REF!</v>
      </c>
      <c r="AM7" s="447" t="e">
        <f t="shared" ref="AM7:AM15" si="6">IF($K7&lt;=IF($B$2="mil",1,0.0254)*125,"Pass",IF($B$2="mil",1,0.0254)*125-$K7)</f>
        <v>#REF!</v>
      </c>
      <c r="AN7" s="447" t="e">
        <f t="shared" ref="AN7:AN15" si="7">IF(($K7+$L7)&lt;=IF($B$2="mil",1,0.0254)*1350,"Pass",IF($B$2="mil",1,0.0254)*1350-($K7+L7))</f>
        <v>#REF!</v>
      </c>
      <c r="AO7" s="447" t="e">
        <f t="shared" ref="AO7:AO15" si="8">IF($M7&lt;=IF($B$2="mil",1,0.0254)*650,"Pass",IF($B$2="mil",1,0.0254)*650-$M7)</f>
        <v>#REF!</v>
      </c>
      <c r="AP7" s="447" t="e">
        <f t="shared" ref="AP7:AP15" si="9">IF($N7&lt;=IF($B$2="mil",1,0.0254)*650,"Pass",IF($B$2="mil",1,0.0254)*650-$N7)</f>
        <v>#REF!</v>
      </c>
      <c r="AQ7" s="445" t="e">
        <f t="shared" ref="AQ7:AQ15" si="10">IF(MAX(M7:N7)-MIN(M7:N7)&lt;=IF($B$2="mil",1,0.0254)*50,"Pass",MAX(M7:N7)-MIN(M7:N7)-IF($B$2="mil",1,0.0254)*50)</f>
        <v>#REF!</v>
      </c>
      <c r="AR7" s="447" t="e">
        <f t="shared" ref="AR7:AR15" ca="1" si="11">CheckLength2(IF($B$2="mil",1,0.0254)*800,$O7,M7,0)</f>
        <v>#NAME?</v>
      </c>
      <c r="AS7" s="447" t="e">
        <f t="shared" ref="AS7:AS15" ca="1" si="12">CheckLength2(IF($B$2="mil",1,0.0254)*800,$P7,N7,0)</f>
        <v>#NAME?</v>
      </c>
      <c r="AT7" s="447" t="e">
        <f t="shared" ref="AT7:AT15" si="13">IF(AND($S7&gt;=IF($B$2="mil",1,0.0254)*500, $S7&lt;=IF($B$2="mil",1,0.0254)*5500),"Pass",IF($B$2="mil",1,0.0254)*5500-$S7)</f>
        <v>#REF!</v>
      </c>
      <c r="AU7" s="447" t="e">
        <f t="shared" ref="AU7:AU15" si="14">IF(AND($T7&gt;=IF($B$2="mil",1,0.0254)*500, $T7&lt;=IF($B$2="mil",1,0.0254)*6000),"Pass",IF($B$2="mil",1,0.0254)*6000-$T7)</f>
        <v>#REF!</v>
      </c>
      <c r="AV7" s="18"/>
      <c r="AW7" s="82" t="e">
        <f ca="1">IF(AND(AF7="Pass",AG7="Pass",AI7="Pass",AJ7="Pass",AS7="Pass",AN7="Pass",AO7="Pass",AP7="Pass",AQ7="Pass",AR7="Pass",AM7="Pass",AL7="Pass",AK7="Pass",X7="Pass",Y7="Pass",AT7="Pass",AU7="Pass"),"Pass","Fail")</f>
        <v>#REF!</v>
      </c>
      <c r="AX7" s="2" t="e">
        <f ca="1">IF(AND(AW7="Pass",AW8="Pass",AW9="Pass",AW10="Pass",AW11="Pass",AW12="Pass",AW13="Pass",AW14="Pass",AW15="Pass"),"Pass","Fail")</f>
        <v>#REF!</v>
      </c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</row>
    <row r="8" spans="1:65" x14ac:dyDescent="0.2">
      <c r="A8" s="560" t="s">
        <v>170</v>
      </c>
      <c r="B8" s="589" t="s">
        <v>551</v>
      </c>
      <c r="C8" s="584">
        <v>406.77165354330714</v>
      </c>
      <c r="D8" s="16"/>
      <c r="E8" s="17">
        <v>22.63</v>
      </c>
      <c r="F8" s="17">
        <v>0</v>
      </c>
      <c r="G8">
        <v>1130</v>
      </c>
      <c r="H8">
        <v>778.75</v>
      </c>
      <c r="I8">
        <v>85.78</v>
      </c>
      <c r="J8" s="17">
        <v>40</v>
      </c>
      <c r="K8">
        <v>44.57</v>
      </c>
      <c r="L8">
        <v>1205.76</v>
      </c>
      <c r="M8" s="271">
        <v>0</v>
      </c>
      <c r="N8" s="271">
        <v>0</v>
      </c>
      <c r="O8">
        <v>22.26</v>
      </c>
      <c r="P8">
        <v>42</v>
      </c>
      <c r="Q8" s="58"/>
      <c r="R8" s="18"/>
      <c r="S8" s="441">
        <f t="shared" si="0"/>
        <v>3329.75</v>
      </c>
      <c r="T8" s="441" t="e">
        <f t="shared" ref="T8:T15" si="15">S8+IF($B$2="mil",1,0.0254)*$C8</f>
        <v>#REF!</v>
      </c>
      <c r="U8" s="441" t="e">
        <f>MAX(U$5:U$6)+IF($B$2="mil",1,0.0254)*DDR2Specs!$E$3</f>
        <v>#REF!</v>
      </c>
      <c r="V8" s="441" t="e">
        <f>MIN(U$5:U$6)+IF($B$2="mil",1,0.0254)*DDR2Specs!$F$3</f>
        <v>#REF!</v>
      </c>
      <c r="W8" s="18"/>
      <c r="X8" s="534" t="e">
        <f t="shared" si="1"/>
        <v>#REF!</v>
      </c>
      <c r="Y8" s="447" t="e">
        <f t="shared" si="2"/>
        <v>#REF!</v>
      </c>
      <c r="Z8" s="18"/>
      <c r="AA8" s="441">
        <f t="shared" si="3"/>
        <v>3349.49</v>
      </c>
      <c r="AB8" s="441" t="e">
        <f t="shared" ref="AB8:AB15" si="16">AA8+IF($B$2="mil",1,0.0254)*$C8</f>
        <v>#REF!</v>
      </c>
      <c r="AC8" s="441" t="e">
        <f>MAX(AC$5:AC$6)+IF($B$2="mil",1,0.0254)*DDR2Specs!$E$3</f>
        <v>#REF!</v>
      </c>
      <c r="AD8" s="441" t="e">
        <f>MIN(AC$5:AC$6)+IF($B$2="mil",1,0.0254)*DDR2Specs!$F$3</f>
        <v>#REF!</v>
      </c>
      <c r="AE8" s="18"/>
      <c r="AF8" s="534" t="e">
        <f t="shared" ref="AF8:AF15" si="17">IF($AB8&lt;$AC8,$AC8-$AB8,"Pass")</f>
        <v>#REF!</v>
      </c>
      <c r="AG8" s="447" t="e">
        <f t="shared" ref="AG8:AG15" si="18">IF($AB8&gt;$AD8,$AB8-$AD8,"Pass")</f>
        <v>#REF!</v>
      </c>
      <c r="AH8" s="18"/>
      <c r="AI8" s="447" t="e">
        <f t="shared" ref="AI8:AI15" si="19">IF($E8&lt;=IF($B$2="mil",1,0.0254)*50,"Pass",IF($B$2="mil",1,0.0254)*50-$E8)</f>
        <v>#REF!</v>
      </c>
      <c r="AJ8" s="447" t="e">
        <f t="shared" ref="AJ8:AJ15" si="20">IF($F8&lt;=IF($B$2="mil",1,0.0254)*500,"Pass",IF($B$2="mil",1,0.0254)*500-$F8)</f>
        <v>#REF!</v>
      </c>
      <c r="AK8" s="447" t="e">
        <f t="shared" si="4"/>
        <v>#REF!</v>
      </c>
      <c r="AL8" s="447" t="e">
        <f t="shared" si="5"/>
        <v>#REF!</v>
      </c>
      <c r="AM8" s="447" t="e">
        <f t="shared" si="6"/>
        <v>#REF!</v>
      </c>
      <c r="AN8" s="447" t="e">
        <f t="shared" si="7"/>
        <v>#REF!</v>
      </c>
      <c r="AO8" s="447" t="e">
        <f t="shared" si="8"/>
        <v>#REF!</v>
      </c>
      <c r="AP8" s="447" t="e">
        <f t="shared" si="9"/>
        <v>#REF!</v>
      </c>
      <c r="AQ8" s="445" t="e">
        <f t="shared" si="10"/>
        <v>#REF!</v>
      </c>
      <c r="AR8" s="447" t="e">
        <f t="shared" ca="1" si="11"/>
        <v>#NAME?</v>
      </c>
      <c r="AS8" s="447" t="e">
        <f t="shared" ca="1" si="12"/>
        <v>#NAME?</v>
      </c>
      <c r="AT8" s="447" t="e">
        <f t="shared" si="13"/>
        <v>#REF!</v>
      </c>
      <c r="AU8" s="447" t="e">
        <f t="shared" si="14"/>
        <v>#REF!</v>
      </c>
      <c r="AV8" s="18"/>
      <c r="AW8" s="82" t="e">
        <f t="shared" ref="AW8:AW15" ca="1" si="21">IF(AND(AF8="Pass",AG8="Pass",AI8="Pass",AJ8="Pass",AS8="Pass",AN8="Pass",AO8="Pass",AP8="Pass",AQ8="Pass",AR8="Pass",AM8="Pass",AL8="Pass",AK8="Pass",X8="Pass",Y8="Pass",AT8="Pass",AU8="Pass"),"Pass","Fail")</f>
        <v>#REF!</v>
      </c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</row>
    <row r="9" spans="1:65" x14ac:dyDescent="0.2">
      <c r="A9" s="560" t="s">
        <v>171</v>
      </c>
      <c r="B9" s="589" t="s">
        <v>552</v>
      </c>
      <c r="C9" s="584">
        <v>432.40157480314963</v>
      </c>
      <c r="D9" s="16"/>
      <c r="E9" s="17">
        <v>22.63</v>
      </c>
      <c r="F9" s="17">
        <v>0</v>
      </c>
      <c r="G9">
        <v>1050</v>
      </c>
      <c r="H9">
        <v>845</v>
      </c>
      <c r="I9">
        <v>29.57</v>
      </c>
      <c r="J9" s="17">
        <v>40</v>
      </c>
      <c r="K9">
        <v>85.78</v>
      </c>
      <c r="L9">
        <v>1188.58</v>
      </c>
      <c r="M9" s="271">
        <v>0</v>
      </c>
      <c r="N9" s="271">
        <v>0</v>
      </c>
      <c r="O9">
        <v>40.630000000000003</v>
      </c>
      <c r="P9">
        <v>60</v>
      </c>
      <c r="Q9" s="58"/>
      <c r="R9" s="18"/>
      <c r="S9" s="441">
        <f t="shared" si="0"/>
        <v>3302.19</v>
      </c>
      <c r="T9" s="441" t="e">
        <f t="shared" si="15"/>
        <v>#REF!</v>
      </c>
      <c r="U9" s="441" t="e">
        <f>MAX(U$5:U$6)+IF($B$2="mil",1,0.0254)*DDR2Specs!$E$3</f>
        <v>#REF!</v>
      </c>
      <c r="V9" s="441" t="e">
        <f>MIN(U$5:U$6)+IF($B$2="mil",1,0.0254)*DDR2Specs!$F$3</f>
        <v>#REF!</v>
      </c>
      <c r="W9" s="18"/>
      <c r="X9" s="534" t="e">
        <f t="shared" si="1"/>
        <v>#REF!</v>
      </c>
      <c r="Y9" s="447" t="e">
        <f t="shared" si="2"/>
        <v>#REF!</v>
      </c>
      <c r="Z9" s="18"/>
      <c r="AA9" s="441">
        <f t="shared" si="3"/>
        <v>3321.56</v>
      </c>
      <c r="AB9" s="441" t="e">
        <f t="shared" si="16"/>
        <v>#REF!</v>
      </c>
      <c r="AC9" s="441" t="e">
        <f>MAX(AC$5:AC$6)+IF($B$2="mil",1,0.0254)*DDR2Specs!$E$3</f>
        <v>#REF!</v>
      </c>
      <c r="AD9" s="441" t="e">
        <f>MIN(AC$5:AC$6)+IF($B$2="mil",1,0.0254)*DDR2Specs!$F$3</f>
        <v>#REF!</v>
      </c>
      <c r="AE9" s="18"/>
      <c r="AF9" s="534" t="e">
        <f t="shared" si="17"/>
        <v>#REF!</v>
      </c>
      <c r="AG9" s="447" t="e">
        <f t="shared" si="18"/>
        <v>#REF!</v>
      </c>
      <c r="AH9" s="18"/>
      <c r="AI9" s="447" t="e">
        <f t="shared" si="19"/>
        <v>#REF!</v>
      </c>
      <c r="AJ9" s="447" t="e">
        <f t="shared" si="20"/>
        <v>#REF!</v>
      </c>
      <c r="AK9" s="447" t="e">
        <f t="shared" si="4"/>
        <v>#REF!</v>
      </c>
      <c r="AL9" s="447" t="e">
        <f t="shared" si="5"/>
        <v>#REF!</v>
      </c>
      <c r="AM9" s="447" t="e">
        <f t="shared" si="6"/>
        <v>#REF!</v>
      </c>
      <c r="AN9" s="447" t="e">
        <f t="shared" si="7"/>
        <v>#REF!</v>
      </c>
      <c r="AO9" s="447" t="e">
        <f t="shared" si="8"/>
        <v>#REF!</v>
      </c>
      <c r="AP9" s="447" t="e">
        <f t="shared" si="9"/>
        <v>#REF!</v>
      </c>
      <c r="AQ9" s="445" t="e">
        <f t="shared" si="10"/>
        <v>#REF!</v>
      </c>
      <c r="AR9" s="447" t="e">
        <f t="shared" ca="1" si="11"/>
        <v>#NAME?</v>
      </c>
      <c r="AS9" s="447" t="e">
        <f t="shared" ca="1" si="12"/>
        <v>#NAME?</v>
      </c>
      <c r="AT9" s="447" t="e">
        <f t="shared" si="13"/>
        <v>#REF!</v>
      </c>
      <c r="AU9" s="447" t="e">
        <f t="shared" si="14"/>
        <v>#REF!</v>
      </c>
      <c r="AV9" s="18"/>
      <c r="AW9" s="82" t="e">
        <f t="shared" ca="1" si="21"/>
        <v>#REF!</v>
      </c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</row>
    <row r="10" spans="1:65" x14ac:dyDescent="0.2">
      <c r="A10" s="560" t="s">
        <v>172</v>
      </c>
      <c r="B10" s="589" t="s">
        <v>548</v>
      </c>
      <c r="C10" s="584">
        <v>395.82677165354335</v>
      </c>
      <c r="D10" s="16"/>
      <c r="E10" s="17">
        <v>22.63</v>
      </c>
      <c r="F10" s="17">
        <v>0</v>
      </c>
      <c r="G10">
        <v>1150</v>
      </c>
      <c r="H10">
        <v>770.06</v>
      </c>
      <c r="I10">
        <v>85.78</v>
      </c>
      <c r="J10" s="17">
        <v>40</v>
      </c>
      <c r="K10">
        <v>44.57</v>
      </c>
      <c r="L10">
        <v>1215.22</v>
      </c>
      <c r="M10" s="271">
        <v>0</v>
      </c>
      <c r="N10" s="271">
        <v>0</v>
      </c>
      <c r="O10">
        <v>22.25</v>
      </c>
      <c r="P10">
        <v>32</v>
      </c>
      <c r="Q10" s="58"/>
      <c r="R10" s="18"/>
      <c r="S10" s="441">
        <f t="shared" si="0"/>
        <v>3350.51</v>
      </c>
      <c r="T10" s="441" t="e">
        <f t="shared" si="15"/>
        <v>#REF!</v>
      </c>
      <c r="U10" s="441" t="e">
        <f>MAX(U$5:U$6)+IF($B$2="mil",1,0.0254)*DDR2Specs!$E$3</f>
        <v>#REF!</v>
      </c>
      <c r="V10" s="441" t="e">
        <f>MIN(U$5:U$6)+IF($B$2="mil",1,0.0254)*DDR2Specs!$F$3</f>
        <v>#REF!</v>
      </c>
      <c r="W10" s="18"/>
      <c r="X10" s="534" t="e">
        <f t="shared" si="1"/>
        <v>#REF!</v>
      </c>
      <c r="Y10" s="447" t="e">
        <f t="shared" si="2"/>
        <v>#REF!</v>
      </c>
      <c r="Z10" s="18"/>
      <c r="AA10" s="441">
        <f t="shared" si="3"/>
        <v>3360.26</v>
      </c>
      <c r="AB10" s="441" t="e">
        <f t="shared" si="16"/>
        <v>#REF!</v>
      </c>
      <c r="AC10" s="441" t="e">
        <f>MAX(AC$5:AC$6)+IF($B$2="mil",1,0.0254)*DDR2Specs!$E$3</f>
        <v>#REF!</v>
      </c>
      <c r="AD10" s="441" t="e">
        <f>MIN(AC$5:AC$6)+IF($B$2="mil",1,0.0254)*DDR2Specs!$F$3</f>
        <v>#REF!</v>
      </c>
      <c r="AE10" s="18"/>
      <c r="AF10" s="534" t="e">
        <f t="shared" si="17"/>
        <v>#REF!</v>
      </c>
      <c r="AG10" s="447" t="e">
        <f t="shared" si="18"/>
        <v>#REF!</v>
      </c>
      <c r="AH10" s="18"/>
      <c r="AI10" s="447" t="e">
        <f t="shared" si="19"/>
        <v>#REF!</v>
      </c>
      <c r="AJ10" s="447" t="e">
        <f t="shared" si="20"/>
        <v>#REF!</v>
      </c>
      <c r="AK10" s="447" t="e">
        <f t="shared" si="4"/>
        <v>#REF!</v>
      </c>
      <c r="AL10" s="447" t="e">
        <f t="shared" si="5"/>
        <v>#REF!</v>
      </c>
      <c r="AM10" s="447" t="e">
        <f t="shared" si="6"/>
        <v>#REF!</v>
      </c>
      <c r="AN10" s="447" t="e">
        <f t="shared" si="7"/>
        <v>#REF!</v>
      </c>
      <c r="AO10" s="447" t="e">
        <f t="shared" si="8"/>
        <v>#REF!</v>
      </c>
      <c r="AP10" s="447" t="e">
        <f t="shared" si="9"/>
        <v>#REF!</v>
      </c>
      <c r="AQ10" s="445" t="e">
        <f t="shared" si="10"/>
        <v>#REF!</v>
      </c>
      <c r="AR10" s="447" t="e">
        <f t="shared" ca="1" si="11"/>
        <v>#NAME?</v>
      </c>
      <c r="AS10" s="447" t="e">
        <f t="shared" ca="1" si="12"/>
        <v>#NAME?</v>
      </c>
      <c r="AT10" s="447" t="e">
        <f t="shared" si="13"/>
        <v>#REF!</v>
      </c>
      <c r="AU10" s="447" t="e">
        <f t="shared" si="14"/>
        <v>#REF!</v>
      </c>
      <c r="AV10" s="18"/>
      <c r="AW10" s="82" t="e">
        <f t="shared" ca="1" si="21"/>
        <v>#REF!</v>
      </c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</row>
    <row r="11" spans="1:65" x14ac:dyDescent="0.2">
      <c r="A11" s="560" t="s">
        <v>173</v>
      </c>
      <c r="B11" s="589" t="s">
        <v>549</v>
      </c>
      <c r="C11" s="584">
        <v>371.81102362204729</v>
      </c>
      <c r="D11" s="16"/>
      <c r="E11" s="17">
        <v>22.63</v>
      </c>
      <c r="F11" s="17">
        <v>0</v>
      </c>
      <c r="G11">
        <v>1085</v>
      </c>
      <c r="H11">
        <v>780.58</v>
      </c>
      <c r="I11">
        <v>105</v>
      </c>
      <c r="J11" s="17">
        <v>40</v>
      </c>
      <c r="K11">
        <v>44.71</v>
      </c>
      <c r="L11">
        <v>1229.5899999999999</v>
      </c>
      <c r="M11" s="271">
        <v>0</v>
      </c>
      <c r="N11" s="271">
        <v>0</v>
      </c>
      <c r="O11">
        <v>65.11</v>
      </c>
      <c r="P11">
        <v>75</v>
      </c>
      <c r="Q11" s="58"/>
      <c r="R11" s="18"/>
      <c r="S11" s="441">
        <f t="shared" si="0"/>
        <v>3372.6200000000003</v>
      </c>
      <c r="T11" s="441" t="e">
        <f t="shared" si="15"/>
        <v>#REF!</v>
      </c>
      <c r="U11" s="441" t="e">
        <f>MAX(U$5:U$6)+IF($B$2="mil",1,0.0254)*DDR2Specs!$E$3</f>
        <v>#REF!</v>
      </c>
      <c r="V11" s="441" t="e">
        <f>MIN(U$5:U$6)+IF($B$2="mil",1,0.0254)*DDR2Specs!$F$3</f>
        <v>#REF!</v>
      </c>
      <c r="W11" s="18"/>
      <c r="X11" s="534" t="e">
        <f t="shared" si="1"/>
        <v>#REF!</v>
      </c>
      <c r="Y11" s="447" t="e">
        <f t="shared" si="2"/>
        <v>#REF!</v>
      </c>
      <c r="Z11" s="18"/>
      <c r="AA11" s="441">
        <f t="shared" si="3"/>
        <v>3382.51</v>
      </c>
      <c r="AB11" s="441" t="e">
        <f t="shared" si="16"/>
        <v>#REF!</v>
      </c>
      <c r="AC11" s="441" t="e">
        <f>MAX(AC$5:AC$6)+IF($B$2="mil",1,0.0254)*DDR2Specs!$E$3</f>
        <v>#REF!</v>
      </c>
      <c r="AD11" s="441" t="e">
        <f>MIN(AC$5:AC$6)+IF($B$2="mil",1,0.0254)*DDR2Specs!$F$3</f>
        <v>#REF!</v>
      </c>
      <c r="AE11" s="18"/>
      <c r="AF11" s="534" t="e">
        <f t="shared" si="17"/>
        <v>#REF!</v>
      </c>
      <c r="AG11" s="447" t="e">
        <f t="shared" si="18"/>
        <v>#REF!</v>
      </c>
      <c r="AH11" s="18"/>
      <c r="AI11" s="447" t="e">
        <f t="shared" si="19"/>
        <v>#REF!</v>
      </c>
      <c r="AJ11" s="447" t="e">
        <f t="shared" si="20"/>
        <v>#REF!</v>
      </c>
      <c r="AK11" s="447" t="e">
        <f t="shared" si="4"/>
        <v>#REF!</v>
      </c>
      <c r="AL11" s="447" t="e">
        <f t="shared" si="5"/>
        <v>#REF!</v>
      </c>
      <c r="AM11" s="447" t="e">
        <f t="shared" si="6"/>
        <v>#REF!</v>
      </c>
      <c r="AN11" s="447" t="e">
        <f t="shared" si="7"/>
        <v>#REF!</v>
      </c>
      <c r="AO11" s="447" t="e">
        <f t="shared" si="8"/>
        <v>#REF!</v>
      </c>
      <c r="AP11" s="447" t="e">
        <f t="shared" si="9"/>
        <v>#REF!</v>
      </c>
      <c r="AQ11" s="445" t="e">
        <f t="shared" si="10"/>
        <v>#REF!</v>
      </c>
      <c r="AR11" s="447" t="e">
        <f t="shared" ca="1" si="11"/>
        <v>#NAME?</v>
      </c>
      <c r="AS11" s="447" t="e">
        <f t="shared" ca="1" si="12"/>
        <v>#NAME?</v>
      </c>
      <c r="AT11" s="447" t="e">
        <f t="shared" si="13"/>
        <v>#REF!</v>
      </c>
      <c r="AU11" s="447" t="e">
        <f t="shared" si="14"/>
        <v>#REF!</v>
      </c>
      <c r="AV11" s="18"/>
      <c r="AW11" s="82" t="e">
        <f t="shared" ca="1" si="21"/>
        <v>#REF!</v>
      </c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</row>
    <row r="12" spans="1:65" x14ac:dyDescent="0.2">
      <c r="A12" s="560" t="s">
        <v>174</v>
      </c>
      <c r="B12" s="589" t="s">
        <v>547</v>
      </c>
      <c r="C12" s="584">
        <v>392.75590551181108</v>
      </c>
      <c r="D12" s="16"/>
      <c r="E12" s="17">
        <v>22.63</v>
      </c>
      <c r="F12" s="17">
        <v>0</v>
      </c>
      <c r="G12">
        <v>1116</v>
      </c>
      <c r="H12">
        <v>773.45</v>
      </c>
      <c r="I12">
        <v>96.14</v>
      </c>
      <c r="J12" s="17">
        <v>40</v>
      </c>
      <c r="K12">
        <v>85.78</v>
      </c>
      <c r="L12">
        <v>1188.45</v>
      </c>
      <c r="M12" s="271">
        <v>0</v>
      </c>
      <c r="N12" s="271">
        <v>0</v>
      </c>
      <c r="O12">
        <v>22.3</v>
      </c>
      <c r="P12">
        <v>45</v>
      </c>
      <c r="Q12" s="58"/>
      <c r="R12" s="18"/>
      <c r="S12" s="441">
        <f t="shared" si="0"/>
        <v>3344.7500000000009</v>
      </c>
      <c r="T12" s="441" t="e">
        <f t="shared" si="15"/>
        <v>#REF!</v>
      </c>
      <c r="U12" s="441" t="e">
        <f>MAX(U$5:U$6)+IF($B$2="mil",1,0.0254)*DDR2Specs!$E$3</f>
        <v>#REF!</v>
      </c>
      <c r="V12" s="441" t="e">
        <f>MIN(U$5:U$6)+IF($B$2="mil",1,0.0254)*DDR2Specs!$F$3</f>
        <v>#REF!</v>
      </c>
      <c r="W12" s="18"/>
      <c r="X12" s="534" t="e">
        <f t="shared" si="1"/>
        <v>#REF!</v>
      </c>
      <c r="Y12" s="447" t="e">
        <f t="shared" si="2"/>
        <v>#REF!</v>
      </c>
      <c r="Z12" s="18"/>
      <c r="AA12" s="441">
        <f t="shared" si="3"/>
        <v>3367.4500000000007</v>
      </c>
      <c r="AB12" s="441" t="e">
        <f t="shared" si="16"/>
        <v>#REF!</v>
      </c>
      <c r="AC12" s="441" t="e">
        <f>MAX(AC$5:AC$6)+IF($B$2="mil",1,0.0254)*DDR2Specs!$E$3</f>
        <v>#REF!</v>
      </c>
      <c r="AD12" s="441" t="e">
        <f>MIN(AC$5:AC$6)+IF($B$2="mil",1,0.0254)*DDR2Specs!$F$3</f>
        <v>#REF!</v>
      </c>
      <c r="AE12" s="18"/>
      <c r="AF12" s="534" t="e">
        <f t="shared" si="17"/>
        <v>#REF!</v>
      </c>
      <c r="AG12" s="447" t="e">
        <f t="shared" si="18"/>
        <v>#REF!</v>
      </c>
      <c r="AH12" s="18"/>
      <c r="AI12" s="447" t="e">
        <f t="shared" si="19"/>
        <v>#REF!</v>
      </c>
      <c r="AJ12" s="447" t="e">
        <f t="shared" si="20"/>
        <v>#REF!</v>
      </c>
      <c r="AK12" s="447" t="e">
        <f t="shared" si="4"/>
        <v>#REF!</v>
      </c>
      <c r="AL12" s="447" t="e">
        <f t="shared" si="5"/>
        <v>#REF!</v>
      </c>
      <c r="AM12" s="447" t="e">
        <f t="shared" si="6"/>
        <v>#REF!</v>
      </c>
      <c r="AN12" s="447" t="e">
        <f t="shared" si="7"/>
        <v>#REF!</v>
      </c>
      <c r="AO12" s="447" t="e">
        <f t="shared" si="8"/>
        <v>#REF!</v>
      </c>
      <c r="AP12" s="447" t="e">
        <f t="shared" si="9"/>
        <v>#REF!</v>
      </c>
      <c r="AQ12" s="445" t="e">
        <f t="shared" si="10"/>
        <v>#REF!</v>
      </c>
      <c r="AR12" s="447" t="e">
        <f t="shared" ca="1" si="11"/>
        <v>#NAME?</v>
      </c>
      <c r="AS12" s="447" t="e">
        <f t="shared" ca="1" si="12"/>
        <v>#NAME?</v>
      </c>
      <c r="AT12" s="447" t="e">
        <f t="shared" si="13"/>
        <v>#REF!</v>
      </c>
      <c r="AU12" s="447" t="e">
        <f t="shared" si="14"/>
        <v>#REF!</v>
      </c>
      <c r="AV12" s="18"/>
      <c r="AW12" s="82" t="e">
        <f t="shared" ca="1" si="21"/>
        <v>#REF!</v>
      </c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</row>
    <row r="13" spans="1:65" x14ac:dyDescent="0.2">
      <c r="A13" s="560" t="s">
        <v>175</v>
      </c>
      <c r="B13" s="589" t="s">
        <v>391</v>
      </c>
      <c r="C13" s="584">
        <v>348.07086614173227</v>
      </c>
      <c r="D13" s="16"/>
      <c r="E13" s="17">
        <v>22.63</v>
      </c>
      <c r="F13" s="17">
        <v>0</v>
      </c>
      <c r="G13">
        <v>1175</v>
      </c>
      <c r="H13">
        <v>829.71</v>
      </c>
      <c r="I13">
        <v>44.57</v>
      </c>
      <c r="J13" s="17">
        <v>40</v>
      </c>
      <c r="K13">
        <v>85.78</v>
      </c>
      <c r="L13">
        <v>1176.25</v>
      </c>
      <c r="M13" s="271">
        <v>0</v>
      </c>
      <c r="N13" s="271">
        <v>0</v>
      </c>
      <c r="O13">
        <v>25.06</v>
      </c>
      <c r="P13">
        <v>35</v>
      </c>
      <c r="Q13" s="58"/>
      <c r="R13" s="18"/>
      <c r="S13" s="441">
        <f t="shared" si="0"/>
        <v>3399.0000000000005</v>
      </c>
      <c r="T13" s="441" t="e">
        <f t="shared" si="15"/>
        <v>#REF!</v>
      </c>
      <c r="U13" s="441" t="e">
        <f>MAX(U$5:U$6)+IF($B$2="mil",1,0.0254)*DDR2Specs!$E$3</f>
        <v>#REF!</v>
      </c>
      <c r="V13" s="441" t="e">
        <f>MIN(U$5:U$6)+IF($B$2="mil",1,0.0254)*DDR2Specs!$F$3</f>
        <v>#REF!</v>
      </c>
      <c r="W13" s="18"/>
      <c r="X13" s="534" t="e">
        <f t="shared" si="1"/>
        <v>#REF!</v>
      </c>
      <c r="Y13" s="447" t="e">
        <f t="shared" si="2"/>
        <v>#REF!</v>
      </c>
      <c r="Z13" s="18"/>
      <c r="AA13" s="441">
        <f t="shared" si="3"/>
        <v>3408.9400000000005</v>
      </c>
      <c r="AB13" s="441" t="e">
        <f t="shared" si="16"/>
        <v>#REF!</v>
      </c>
      <c r="AC13" s="441" t="e">
        <f>MAX(AC$5:AC$6)+IF($B$2="mil",1,0.0254)*DDR2Specs!$E$3</f>
        <v>#REF!</v>
      </c>
      <c r="AD13" s="441" t="e">
        <f>MIN(AC$5:AC$6)+IF($B$2="mil",1,0.0254)*DDR2Specs!$F$3</f>
        <v>#REF!</v>
      </c>
      <c r="AE13" s="18"/>
      <c r="AF13" s="534" t="e">
        <f t="shared" si="17"/>
        <v>#REF!</v>
      </c>
      <c r="AG13" s="447" t="e">
        <f t="shared" si="18"/>
        <v>#REF!</v>
      </c>
      <c r="AH13" s="18"/>
      <c r="AI13" s="447" t="e">
        <f t="shared" si="19"/>
        <v>#REF!</v>
      </c>
      <c r="AJ13" s="447" t="e">
        <f t="shared" si="20"/>
        <v>#REF!</v>
      </c>
      <c r="AK13" s="447" t="e">
        <f t="shared" si="4"/>
        <v>#REF!</v>
      </c>
      <c r="AL13" s="447" t="e">
        <f t="shared" si="5"/>
        <v>#REF!</v>
      </c>
      <c r="AM13" s="447" t="e">
        <f t="shared" si="6"/>
        <v>#REF!</v>
      </c>
      <c r="AN13" s="447" t="e">
        <f t="shared" si="7"/>
        <v>#REF!</v>
      </c>
      <c r="AO13" s="447" t="e">
        <f t="shared" si="8"/>
        <v>#REF!</v>
      </c>
      <c r="AP13" s="447" t="e">
        <f t="shared" si="9"/>
        <v>#REF!</v>
      </c>
      <c r="AQ13" s="445" t="e">
        <f t="shared" si="10"/>
        <v>#REF!</v>
      </c>
      <c r="AR13" s="447" t="e">
        <f t="shared" ca="1" si="11"/>
        <v>#NAME?</v>
      </c>
      <c r="AS13" s="447" t="e">
        <f t="shared" ca="1" si="12"/>
        <v>#NAME?</v>
      </c>
      <c r="AT13" s="447" t="e">
        <f t="shared" si="13"/>
        <v>#REF!</v>
      </c>
      <c r="AU13" s="447" t="e">
        <f t="shared" si="14"/>
        <v>#REF!</v>
      </c>
      <c r="AV13" s="18"/>
      <c r="AW13" s="82" t="e">
        <f t="shared" ca="1" si="21"/>
        <v>#REF!</v>
      </c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</row>
    <row r="14" spans="1:65" x14ac:dyDescent="0.2">
      <c r="A14" s="560" t="s">
        <v>176</v>
      </c>
      <c r="B14" s="589" t="s">
        <v>546</v>
      </c>
      <c r="C14" s="584">
        <v>531.10236220472439</v>
      </c>
      <c r="D14" s="16"/>
      <c r="E14" s="17">
        <v>22.63</v>
      </c>
      <c r="F14" s="17">
        <v>0</v>
      </c>
      <c r="G14">
        <v>990</v>
      </c>
      <c r="H14">
        <v>810</v>
      </c>
      <c r="I14">
        <v>86</v>
      </c>
      <c r="J14" s="17">
        <v>40</v>
      </c>
      <c r="K14">
        <v>35</v>
      </c>
      <c r="L14">
        <v>1120</v>
      </c>
      <c r="M14" s="271">
        <v>0</v>
      </c>
      <c r="N14" s="271">
        <v>0</v>
      </c>
      <c r="O14">
        <v>108.87</v>
      </c>
      <c r="P14">
        <v>120</v>
      </c>
      <c r="Q14" s="58"/>
      <c r="R14" s="18"/>
      <c r="S14" s="441">
        <f t="shared" si="0"/>
        <v>3212.5</v>
      </c>
      <c r="T14" s="441" t="e">
        <f t="shared" si="15"/>
        <v>#REF!</v>
      </c>
      <c r="U14" s="441" t="e">
        <f>MAX(U$5:U$6)+IF($B$2="mil",1,0.0254)*DDR2Specs!$E$3</f>
        <v>#REF!</v>
      </c>
      <c r="V14" s="441" t="e">
        <f>MIN(U$5:U$6)+IF($B$2="mil",1,0.0254)*DDR2Specs!$F$3</f>
        <v>#REF!</v>
      </c>
      <c r="W14" s="18"/>
      <c r="X14" s="534" t="e">
        <f t="shared" si="1"/>
        <v>#REF!</v>
      </c>
      <c r="Y14" s="447" t="e">
        <f t="shared" si="2"/>
        <v>#REF!</v>
      </c>
      <c r="Z14" s="18"/>
      <c r="AA14" s="441">
        <f t="shared" si="3"/>
        <v>3223.63</v>
      </c>
      <c r="AB14" s="441" t="e">
        <f t="shared" si="16"/>
        <v>#REF!</v>
      </c>
      <c r="AC14" s="441" t="e">
        <f>MAX(AC$5:AC$6)+IF($B$2="mil",1,0.0254)*DDR2Specs!$E$3</f>
        <v>#REF!</v>
      </c>
      <c r="AD14" s="441" t="e">
        <f>MIN(AC$5:AC$6)+IF($B$2="mil",1,0.0254)*DDR2Specs!$F$3</f>
        <v>#REF!</v>
      </c>
      <c r="AE14" s="18"/>
      <c r="AF14" s="534" t="e">
        <f t="shared" si="17"/>
        <v>#REF!</v>
      </c>
      <c r="AG14" s="447" t="e">
        <f t="shared" si="18"/>
        <v>#REF!</v>
      </c>
      <c r="AH14" s="18"/>
      <c r="AI14" s="447" t="e">
        <f t="shared" si="19"/>
        <v>#REF!</v>
      </c>
      <c r="AJ14" s="447" t="e">
        <f t="shared" si="20"/>
        <v>#REF!</v>
      </c>
      <c r="AK14" s="447" t="e">
        <f t="shared" si="4"/>
        <v>#REF!</v>
      </c>
      <c r="AL14" s="447" t="e">
        <f t="shared" si="5"/>
        <v>#REF!</v>
      </c>
      <c r="AM14" s="447" t="e">
        <f t="shared" si="6"/>
        <v>#REF!</v>
      </c>
      <c r="AN14" s="447" t="e">
        <f t="shared" si="7"/>
        <v>#REF!</v>
      </c>
      <c r="AO14" s="447" t="e">
        <f t="shared" si="8"/>
        <v>#REF!</v>
      </c>
      <c r="AP14" s="447" t="e">
        <f t="shared" si="9"/>
        <v>#REF!</v>
      </c>
      <c r="AQ14" s="445" t="e">
        <f t="shared" si="10"/>
        <v>#REF!</v>
      </c>
      <c r="AR14" s="447" t="e">
        <f t="shared" ca="1" si="11"/>
        <v>#NAME?</v>
      </c>
      <c r="AS14" s="447" t="e">
        <f t="shared" ca="1" si="12"/>
        <v>#NAME?</v>
      </c>
      <c r="AT14" s="447" t="e">
        <f t="shared" si="13"/>
        <v>#REF!</v>
      </c>
      <c r="AU14" s="447" t="e">
        <f t="shared" si="14"/>
        <v>#REF!</v>
      </c>
      <c r="AV14" s="18"/>
      <c r="AW14" s="82" t="e">
        <f t="shared" ca="1" si="21"/>
        <v>#REF!</v>
      </c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</row>
    <row r="15" spans="1:65" x14ac:dyDescent="0.2">
      <c r="A15" s="560" t="s">
        <v>177</v>
      </c>
      <c r="B15" s="590" t="s">
        <v>553</v>
      </c>
      <c r="C15" s="584">
        <v>364.88188976377955</v>
      </c>
      <c r="D15" s="16"/>
      <c r="E15" s="17">
        <v>22.63</v>
      </c>
      <c r="F15" s="17">
        <v>0</v>
      </c>
      <c r="G15">
        <v>1145</v>
      </c>
      <c r="H15">
        <v>840.12</v>
      </c>
      <c r="I15">
        <v>29.57</v>
      </c>
      <c r="J15" s="17">
        <v>40</v>
      </c>
      <c r="K15">
        <v>44.57</v>
      </c>
      <c r="L15">
        <v>1190.24</v>
      </c>
      <c r="M15" s="271">
        <v>0</v>
      </c>
      <c r="N15" s="271">
        <v>0</v>
      </c>
      <c r="O15">
        <v>69.19</v>
      </c>
      <c r="P15">
        <v>77</v>
      </c>
      <c r="Q15" s="58"/>
      <c r="R15" s="18"/>
      <c r="S15" s="441">
        <f t="shared" si="0"/>
        <v>3381.32</v>
      </c>
      <c r="T15" s="441" t="e">
        <f t="shared" si="15"/>
        <v>#REF!</v>
      </c>
      <c r="U15" s="441" t="e">
        <f>MAX(U$5:U$6)+IF($B$2="mil",1,0.0254)*DDR2Specs!$E$3</f>
        <v>#REF!</v>
      </c>
      <c r="V15" s="441" t="e">
        <f>MIN(U$5:U$6)+IF($B$2="mil",1,0.0254)*DDR2Specs!$F$3</f>
        <v>#REF!</v>
      </c>
      <c r="W15" s="18"/>
      <c r="X15" s="534" t="e">
        <f t="shared" si="1"/>
        <v>#REF!</v>
      </c>
      <c r="Y15" s="447" t="e">
        <f t="shared" si="2"/>
        <v>#REF!</v>
      </c>
      <c r="Z15" s="18"/>
      <c r="AA15" s="441">
        <f t="shared" si="3"/>
        <v>3389.13</v>
      </c>
      <c r="AB15" s="441" t="e">
        <f t="shared" si="16"/>
        <v>#REF!</v>
      </c>
      <c r="AC15" s="441" t="e">
        <f>MAX(AC$5:AC$6)+IF($B$2="mil",1,0.0254)*DDR2Specs!$E$3</f>
        <v>#REF!</v>
      </c>
      <c r="AD15" s="441" t="e">
        <f>MIN(AC$5:AC$6)+IF($B$2="mil",1,0.0254)*DDR2Specs!$F$3</f>
        <v>#REF!</v>
      </c>
      <c r="AE15" s="18"/>
      <c r="AF15" s="534" t="e">
        <f t="shared" si="17"/>
        <v>#REF!</v>
      </c>
      <c r="AG15" s="447" t="e">
        <f t="shared" si="18"/>
        <v>#REF!</v>
      </c>
      <c r="AH15" s="18"/>
      <c r="AI15" s="447" t="e">
        <f t="shared" si="19"/>
        <v>#REF!</v>
      </c>
      <c r="AJ15" s="447" t="e">
        <f t="shared" si="20"/>
        <v>#REF!</v>
      </c>
      <c r="AK15" s="447" t="e">
        <f t="shared" si="4"/>
        <v>#REF!</v>
      </c>
      <c r="AL15" s="447" t="e">
        <f t="shared" si="5"/>
        <v>#REF!</v>
      </c>
      <c r="AM15" s="447" t="e">
        <f t="shared" si="6"/>
        <v>#REF!</v>
      </c>
      <c r="AN15" s="447" t="e">
        <f t="shared" si="7"/>
        <v>#REF!</v>
      </c>
      <c r="AO15" s="447" t="e">
        <f t="shared" si="8"/>
        <v>#REF!</v>
      </c>
      <c r="AP15" s="447" t="e">
        <f t="shared" si="9"/>
        <v>#REF!</v>
      </c>
      <c r="AQ15" s="445" t="e">
        <f t="shared" si="10"/>
        <v>#REF!</v>
      </c>
      <c r="AR15" s="447" t="e">
        <f t="shared" ca="1" si="11"/>
        <v>#NAME?</v>
      </c>
      <c r="AS15" s="447" t="e">
        <f t="shared" ca="1" si="12"/>
        <v>#NAME?</v>
      </c>
      <c r="AT15" s="447" t="e">
        <f t="shared" si="13"/>
        <v>#REF!</v>
      </c>
      <c r="AU15" s="447" t="e">
        <f t="shared" si="14"/>
        <v>#REF!</v>
      </c>
      <c r="AV15" s="18"/>
      <c r="AW15" s="82" t="e">
        <f t="shared" ca="1" si="21"/>
        <v>#REF!</v>
      </c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</row>
    <row r="16" spans="1:65" x14ac:dyDescent="0.2">
      <c r="A16" s="563" t="s">
        <v>246</v>
      </c>
      <c r="B16" s="591"/>
      <c r="C16" s="585"/>
      <c r="D16" s="51"/>
      <c r="E16" s="68" t="s">
        <v>69</v>
      </c>
      <c r="F16" s="68"/>
      <c r="G16" s="394"/>
      <c r="H16" s="265"/>
      <c r="I16" s="265"/>
      <c r="J16" s="265"/>
      <c r="K16" s="265"/>
      <c r="L16" s="265"/>
      <c r="M16" s="265"/>
      <c r="N16" s="265"/>
      <c r="O16" s="265"/>
      <c r="P16" s="265"/>
      <c r="Q16" s="8"/>
      <c r="R16" s="540"/>
      <c r="S16" s="68"/>
      <c r="T16" s="539"/>
      <c r="U16" s="539"/>
      <c r="V16" s="540"/>
      <c r="W16" s="540"/>
      <c r="X16" s="541"/>
      <c r="Y16" s="15"/>
      <c r="Z16" s="540"/>
      <c r="AA16" s="68"/>
      <c r="AB16" s="539"/>
      <c r="AC16" s="539"/>
      <c r="AD16" s="540"/>
      <c r="AE16" s="540"/>
      <c r="AF16" s="541"/>
      <c r="AG16" s="15"/>
      <c r="AH16" s="540"/>
      <c r="AI16" s="15"/>
      <c r="AJ16" s="15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69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</row>
    <row r="17" spans="1:65" x14ac:dyDescent="0.2">
      <c r="A17" s="576" t="str">
        <f>'DDR2 Strobes - 2x16'!$A$12</f>
        <v>SA_DQS1</v>
      </c>
      <c r="B17" s="592" t="str">
        <f>'DDR2 Strobes - 2x16'!$B$12</f>
        <v>Y24</v>
      </c>
      <c r="C17" s="586"/>
      <c r="D17" s="44"/>
      <c r="E17" s="67"/>
      <c r="F17" s="67"/>
      <c r="G17" s="395"/>
      <c r="H17" s="266"/>
      <c r="I17" s="266"/>
      <c r="J17" s="266"/>
      <c r="K17" s="266"/>
      <c r="L17" s="266"/>
      <c r="M17" s="266"/>
      <c r="N17" s="266"/>
      <c r="O17" s="266"/>
      <c r="P17" s="266"/>
      <c r="Q17" s="67"/>
      <c r="R17" s="48"/>
      <c r="S17" s="67"/>
      <c r="T17" s="48"/>
      <c r="U17" s="48" t="e">
        <f>'DDR2 Strobes - 2x16'!$U$12</f>
        <v>#REF!</v>
      </c>
      <c r="V17" s="48"/>
      <c r="W17" s="48"/>
      <c r="X17" s="48"/>
      <c r="Y17" s="542"/>
      <c r="Z17" s="48"/>
      <c r="AA17" s="67"/>
      <c r="AB17" s="48"/>
      <c r="AC17" s="48" t="e">
        <f>'DDR2 Strobes - 2x16'!$AC$12</f>
        <v>#REF!</v>
      </c>
      <c r="AD17" s="48"/>
      <c r="AE17" s="48"/>
      <c r="AF17" s="48"/>
      <c r="AG17" s="542"/>
      <c r="AH17" s="48"/>
      <c r="AI17" s="542"/>
      <c r="AJ17" s="542"/>
      <c r="AK17" s="542"/>
      <c r="AL17" s="542"/>
      <c r="AM17" s="542"/>
      <c r="AN17" s="542"/>
      <c r="AO17" s="542"/>
      <c r="AP17" s="542"/>
      <c r="AQ17" s="542"/>
      <c r="AR17" s="542"/>
      <c r="AS17" s="542"/>
      <c r="AT17" s="542"/>
      <c r="AU17" s="542"/>
      <c r="AV17" s="48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</row>
    <row r="18" spans="1:65" x14ac:dyDescent="0.2">
      <c r="A18" s="576" t="str">
        <f>'DDR2 Strobes - 2x16'!$A$13</f>
        <v>SA_DQS1#</v>
      </c>
      <c r="B18" s="592" t="str">
        <f>'DDR2 Strobes - 2x16'!$B$13</f>
        <v>AA24</v>
      </c>
      <c r="C18" s="586"/>
      <c r="D18" s="44"/>
      <c r="E18" s="67"/>
      <c r="F18" s="67"/>
      <c r="G18" s="395"/>
      <c r="H18" s="266"/>
      <c r="I18" s="266"/>
      <c r="J18" s="266"/>
      <c r="K18" s="266"/>
      <c r="L18" s="266"/>
      <c r="M18" s="266"/>
      <c r="N18" s="266"/>
      <c r="O18" s="266"/>
      <c r="P18" s="266"/>
      <c r="Q18" s="67"/>
      <c r="R18" s="48"/>
      <c r="S18" s="536"/>
      <c r="T18" s="537"/>
      <c r="U18" s="48" t="e">
        <f>'DDR2 Strobes - 2x16'!$U$13</f>
        <v>#REF!</v>
      </c>
      <c r="V18" s="48"/>
      <c r="W18" s="48"/>
      <c r="X18" s="48"/>
      <c r="Y18" s="542"/>
      <c r="Z18" s="48"/>
      <c r="AA18" s="536"/>
      <c r="AB18" s="537"/>
      <c r="AC18" s="48" t="e">
        <f>'DDR2 Strobes - 2x16'!$AC$13</f>
        <v>#REF!</v>
      </c>
      <c r="AD18" s="48"/>
      <c r="AE18" s="48"/>
      <c r="AF18" s="48"/>
      <c r="AG18" s="542"/>
      <c r="AH18" s="48"/>
      <c r="AI18" s="542"/>
      <c r="AJ18" s="542"/>
      <c r="AK18" s="543"/>
      <c r="AL18" s="543"/>
      <c r="AM18" s="543"/>
      <c r="AN18" s="543"/>
      <c r="AO18" s="543"/>
      <c r="AP18" s="543"/>
      <c r="AQ18" s="543"/>
      <c r="AR18" s="543"/>
      <c r="AS18" s="543"/>
      <c r="AT18" s="543"/>
      <c r="AU18" s="543"/>
      <c r="AV18" s="48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</row>
    <row r="19" spans="1:65" x14ac:dyDescent="0.2">
      <c r="A19" s="560" t="s">
        <v>178</v>
      </c>
      <c r="B19" s="589" t="s">
        <v>544</v>
      </c>
      <c r="C19" s="584">
        <v>612.67716535433067</v>
      </c>
      <c r="D19" s="16"/>
      <c r="E19" s="17">
        <v>22.63</v>
      </c>
      <c r="F19" s="17">
        <v>0</v>
      </c>
      <c r="G19">
        <v>1410.22</v>
      </c>
      <c r="H19">
        <v>724.35</v>
      </c>
      <c r="I19">
        <v>81.64</v>
      </c>
      <c r="J19" s="17">
        <v>40</v>
      </c>
      <c r="K19">
        <v>31.64</v>
      </c>
      <c r="L19">
        <v>1026.43</v>
      </c>
      <c r="M19" s="271">
        <v>0</v>
      </c>
      <c r="N19" s="271">
        <v>0</v>
      </c>
      <c r="O19">
        <v>101.8</v>
      </c>
      <c r="P19">
        <v>101.77</v>
      </c>
      <c r="Q19" s="58"/>
      <c r="R19" s="18"/>
      <c r="S19" s="441">
        <f t="shared" ref="S19:S27" si="22">SUM(E19:G19,H19:M19,O19)</f>
        <v>3438.71</v>
      </c>
      <c r="T19" s="441" t="e">
        <f>S19+IF($B$2="mil",1,0.0254)*$C19</f>
        <v>#REF!</v>
      </c>
      <c r="U19" s="441" t="e">
        <f>MAX(U$17:U$18)+IF($B$2="mil",1,0.0254)*DDR2Specs!$E$3</f>
        <v>#REF!</v>
      </c>
      <c r="V19" s="441" t="e">
        <f>MIN(U$17:U$18)+IF($B$2="mil",1,0.0254)*DDR2Specs!$F$3</f>
        <v>#REF!</v>
      </c>
      <c r="W19" s="18"/>
      <c r="X19" s="534" t="e">
        <f t="shared" ref="X19:X27" si="23">IF($T19&lt;$U19,$U19-$T19,"Pass")</f>
        <v>#REF!</v>
      </c>
      <c r="Y19" s="447" t="e">
        <f t="shared" ref="Y19:Y27" si="24">IF($T19&gt;$V19,$T19-$V19,"Pass")</f>
        <v>#REF!</v>
      </c>
      <c r="Z19" s="18"/>
      <c r="AA19" s="441">
        <f t="shared" ref="AA19:AA27" si="25">SUM(E19:G19,H19:L19,N19,P19)</f>
        <v>3438.68</v>
      </c>
      <c r="AB19" s="441" t="e">
        <f>AA19+IF($B$2="mil",1,0.0254)*$C19</f>
        <v>#REF!</v>
      </c>
      <c r="AC19" s="441" t="e">
        <f>MAX(AC$17:AC$18)+IF($B$2="mil",1,0.0254)*DDR2Specs!$E$3</f>
        <v>#REF!</v>
      </c>
      <c r="AD19" s="441" t="e">
        <f>MIN(AC$17:AC$18)+IF($B$2="mil",1,0.0254)*DDR2Specs!$F$3</f>
        <v>#REF!</v>
      </c>
      <c r="AE19" s="18"/>
      <c r="AF19" s="534" t="e">
        <f>IF($AB19&lt;$AC19,$AC19-$AB19,"Pass")</f>
        <v>#REF!</v>
      </c>
      <c r="AG19" s="447" t="e">
        <f>IF($AB19&gt;$AD19,$AB19-$AD19,"Pass")</f>
        <v>#REF!</v>
      </c>
      <c r="AH19" s="18"/>
      <c r="AI19" s="447" t="e">
        <f t="shared" ref="AI19:AI27" si="26">IF($E19&lt;=IF($B$2="mil",1,0.0254)*50,"Pass",IF($B$2="mil",1,0.0254)*50-$E19)</f>
        <v>#REF!</v>
      </c>
      <c r="AJ19" s="447" t="e">
        <f t="shared" ref="AJ19:AJ27" si="27">IF($F19&lt;=IF($B$2="mil",1,0.0254)*500,"Pass",IF($B$2="mil",1,0.0254)*500-$F19)</f>
        <v>#REF!</v>
      </c>
      <c r="AK19" s="447" t="e">
        <f t="shared" ref="AK19:AK27" si="28">IF(($G19+$H19)&lt;=IF($B$2="mil",1,0.0254)*2750,"Pass",IF($B$2="mil",1,0.0254)*2750-($G19+D19))</f>
        <v>#REF!</v>
      </c>
      <c r="AL19" s="447" t="e">
        <f t="shared" ref="AL19:AL27" si="29">IF($I19&lt;=IF($B$2="mil",1,0.0254)*125,"Pass",IF($B$2="mil",1,0.0254)*125-$I19)</f>
        <v>#REF!</v>
      </c>
      <c r="AM19" s="447" t="e">
        <f t="shared" ref="AM19:AM27" si="30">IF($K19&lt;=IF($B$2="mil",1,0.0254)*125,"Pass",IF($B$2="mil",1,0.0254)*125-$K19)</f>
        <v>#REF!</v>
      </c>
      <c r="AN19" s="447" t="e">
        <f t="shared" ref="AN19:AN27" si="31">IF(($K19+$L19)&lt;=IF($B$2="mil",1,0.0254)*1350,"Pass",IF($B$2="mil",1,0.0254)*1350-($K19+L19))</f>
        <v>#REF!</v>
      </c>
      <c r="AO19" s="447" t="e">
        <f t="shared" ref="AO19:AO27" si="32">IF($M19&lt;=IF($B$2="mil",1,0.0254)*650,"Pass",IF($B$2="mil",1,0.0254)*650-$M19)</f>
        <v>#REF!</v>
      </c>
      <c r="AP19" s="447" t="e">
        <f t="shared" ref="AP19:AP27" si="33">IF($N19&lt;=IF($B$2="mil",1,0.0254)*650,"Pass",IF($B$2="mil",1,0.0254)*650-$N19)</f>
        <v>#REF!</v>
      </c>
      <c r="AQ19" s="445" t="e">
        <f t="shared" ref="AQ19:AQ27" si="34">IF(MAX(M19:N19)-MIN(M19:N19)&lt;=IF($B$2="mil",1,0.0254)*50,"Pass",MAX(M19:N19)-MIN(M19:N19)-IF($B$2="mil",1,0.0254)*50)</f>
        <v>#REF!</v>
      </c>
      <c r="AR19" s="447" t="e">
        <f t="shared" ref="AR19:AR27" ca="1" si="35">CheckLength2(IF($B$2="mil",1,0.0254)*800,$O19,M19,0)</f>
        <v>#NAME?</v>
      </c>
      <c r="AS19" s="447" t="e">
        <f t="shared" ref="AS19:AS27" ca="1" si="36">CheckLength2(IF($B$2="mil",1,0.0254)*800,$P19,N19,0)</f>
        <v>#NAME?</v>
      </c>
      <c r="AT19" s="447" t="e">
        <f t="shared" ref="AT19:AT27" si="37">IF(AND($S19&gt;=IF($B$2="mil",1,0.0254)*500, $S19&lt;=IF($B$2="mil",1,0.0254)*5500),"Pass",IF($B$2="mil",1,0.0254)*5500-$S19)</f>
        <v>#REF!</v>
      </c>
      <c r="AU19" s="447" t="e">
        <f t="shared" ref="AU19:AU27" si="38">IF(AND($T19&gt;=IF($B$2="mil",1,0.0254)*500, $T19&lt;=IF($B$2="mil",1,0.0254)*6000),"Pass",IF($B$2="mil",1,0.0254)*6000-$T19)</f>
        <v>#REF!</v>
      </c>
      <c r="AV19" s="18"/>
      <c r="AW19" s="82" t="e">
        <f ca="1">IF(AND(AF19="Pass",AG19="Pass",AI19="Pass",AJ19="Pass",AS19="Pass",AN19="Pass",AO19="Pass",AP19="Pass",AQ19="Pass",AR19="Pass",AM19="Pass",AL19="Pass",AK19="Pass",X19="Pass",Y19="Pass",AT19="Pass",AU19="Pass"),"Pass","Fail")</f>
        <v>#REF!</v>
      </c>
      <c r="AX19" s="2" t="e">
        <f ca="1">IF(AND(AW19="Pass",AW20="Pass",AW21="Pass",AW22="Pass",AW23="Pass",AW24="Pass",AW25="Pass",AW26="Pass",AW27="Pass"),"Pass","Fail")</f>
        <v>#REF!</v>
      </c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</row>
    <row r="20" spans="1:65" x14ac:dyDescent="0.2">
      <c r="A20" s="560" t="s">
        <v>179</v>
      </c>
      <c r="B20" s="589" t="s">
        <v>545</v>
      </c>
      <c r="C20" s="584">
        <v>627.75590551181108</v>
      </c>
      <c r="D20" s="16"/>
      <c r="E20" s="17">
        <v>22.63</v>
      </c>
      <c r="F20" s="17">
        <v>0</v>
      </c>
      <c r="G20">
        <v>1401.72</v>
      </c>
      <c r="H20">
        <v>817.84</v>
      </c>
      <c r="I20">
        <v>44.57</v>
      </c>
      <c r="J20" s="17">
        <v>40</v>
      </c>
      <c r="K20">
        <v>90.75</v>
      </c>
      <c r="L20">
        <v>900.65</v>
      </c>
      <c r="M20" s="271">
        <v>0</v>
      </c>
      <c r="N20" s="271">
        <v>0</v>
      </c>
      <c r="O20">
        <v>105.05</v>
      </c>
      <c r="P20">
        <v>105.02</v>
      </c>
      <c r="Q20" s="58"/>
      <c r="R20" s="18"/>
      <c r="S20" s="441">
        <f t="shared" si="22"/>
        <v>3423.2100000000005</v>
      </c>
      <c r="T20" s="441" t="e">
        <f t="shared" ref="T20:T27" si="39">S20+IF($B$2="mil",1,0.0254)*$C20</f>
        <v>#REF!</v>
      </c>
      <c r="U20" s="441" t="e">
        <f>MAX(U$17:U$18)+IF($B$2="mil",1,0.0254)*DDR2Specs!$E$3</f>
        <v>#REF!</v>
      </c>
      <c r="V20" s="441" t="e">
        <f>MIN(U$17:U$18)+IF($B$2="mil",1,0.0254)*DDR2Specs!$F$3</f>
        <v>#REF!</v>
      </c>
      <c r="W20" s="18"/>
      <c r="X20" s="534" t="e">
        <f t="shared" si="23"/>
        <v>#REF!</v>
      </c>
      <c r="Y20" s="447" t="e">
        <f t="shared" si="24"/>
        <v>#REF!</v>
      </c>
      <c r="Z20" s="18"/>
      <c r="AA20" s="441">
        <f t="shared" si="25"/>
        <v>3423.1800000000003</v>
      </c>
      <c r="AB20" s="441" t="e">
        <f t="shared" ref="AB20:AB27" si="40">AA20+IF($B$2="mil",1,0.0254)*$C20</f>
        <v>#REF!</v>
      </c>
      <c r="AC20" s="441" t="e">
        <f>MAX(AC$17:AC$18)+IF($B$2="mil",1,0.0254)*DDR2Specs!$E$3</f>
        <v>#REF!</v>
      </c>
      <c r="AD20" s="441" t="e">
        <f>MIN(AC$17:AC$18)+IF($B$2="mil",1,0.0254)*DDR2Specs!$F$3</f>
        <v>#REF!</v>
      </c>
      <c r="AE20" s="18"/>
      <c r="AF20" s="534" t="e">
        <f t="shared" ref="AF20:AF27" si="41">IF($AB20&lt;$AC20,$AC20-$AB20,"Pass")</f>
        <v>#REF!</v>
      </c>
      <c r="AG20" s="447" t="e">
        <f t="shared" ref="AG20:AG27" si="42">IF($AB20&gt;$AD20,$AB20-$AD20,"Pass")</f>
        <v>#REF!</v>
      </c>
      <c r="AH20" s="18"/>
      <c r="AI20" s="447" t="e">
        <f t="shared" si="26"/>
        <v>#REF!</v>
      </c>
      <c r="AJ20" s="447" t="e">
        <f t="shared" si="27"/>
        <v>#REF!</v>
      </c>
      <c r="AK20" s="447" t="e">
        <f t="shared" si="28"/>
        <v>#REF!</v>
      </c>
      <c r="AL20" s="447" t="e">
        <f t="shared" si="29"/>
        <v>#REF!</v>
      </c>
      <c r="AM20" s="447" t="e">
        <f t="shared" si="30"/>
        <v>#REF!</v>
      </c>
      <c r="AN20" s="447" t="e">
        <f t="shared" si="31"/>
        <v>#REF!</v>
      </c>
      <c r="AO20" s="447" t="e">
        <f t="shared" si="32"/>
        <v>#REF!</v>
      </c>
      <c r="AP20" s="447" t="e">
        <f t="shared" si="33"/>
        <v>#REF!</v>
      </c>
      <c r="AQ20" s="445" t="e">
        <f t="shared" si="34"/>
        <v>#REF!</v>
      </c>
      <c r="AR20" s="447" t="e">
        <f t="shared" ca="1" si="35"/>
        <v>#NAME?</v>
      </c>
      <c r="AS20" s="447" t="e">
        <f t="shared" ca="1" si="36"/>
        <v>#NAME?</v>
      </c>
      <c r="AT20" s="447" t="e">
        <f t="shared" si="37"/>
        <v>#REF!</v>
      </c>
      <c r="AU20" s="447" t="e">
        <f t="shared" si="38"/>
        <v>#REF!</v>
      </c>
      <c r="AV20" s="18"/>
      <c r="AW20" s="82" t="e">
        <f t="shared" ref="AW20:AW27" ca="1" si="43">IF(AND(AF20="Pass",AG20="Pass",AI20="Pass",AJ20="Pass",AS20="Pass",AN20="Pass",AO20="Pass",AP20="Pass",AQ20="Pass",AR20="Pass",AM20="Pass",AL20="Pass",AK20="Pass",X20="Pass",Y20="Pass",AT20="Pass",AU20="Pass"),"Pass","Fail")</f>
        <v>#REF!</v>
      </c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</row>
    <row r="21" spans="1:65" x14ac:dyDescent="0.2">
      <c r="A21" s="560" t="s">
        <v>180</v>
      </c>
      <c r="B21" s="593" t="s">
        <v>157</v>
      </c>
      <c r="C21" s="584">
        <v>625.43307086614175</v>
      </c>
      <c r="D21" s="16"/>
      <c r="E21" s="17">
        <v>22.63</v>
      </c>
      <c r="F21" s="17">
        <v>0</v>
      </c>
      <c r="G21">
        <v>1370.37</v>
      </c>
      <c r="H21">
        <v>779.82</v>
      </c>
      <c r="I21">
        <v>85.78</v>
      </c>
      <c r="J21" s="17">
        <v>40</v>
      </c>
      <c r="K21">
        <v>90.75</v>
      </c>
      <c r="L21">
        <v>1010.48</v>
      </c>
      <c r="M21" s="271">
        <v>0</v>
      </c>
      <c r="N21" s="271">
        <v>0</v>
      </c>
      <c r="O21">
        <v>24.24</v>
      </c>
      <c r="P21">
        <v>24.27</v>
      </c>
      <c r="Q21" s="58"/>
      <c r="R21" s="18"/>
      <c r="S21" s="441">
        <f t="shared" si="22"/>
        <v>3424.07</v>
      </c>
      <c r="T21" s="441" t="e">
        <f t="shared" si="39"/>
        <v>#REF!</v>
      </c>
      <c r="U21" s="441" t="e">
        <f>MAX(U$17:U$18)+IF($B$2="mil",1,0.0254)*DDR2Specs!$E$3</f>
        <v>#REF!</v>
      </c>
      <c r="V21" s="441" t="e">
        <f>MIN(U$17:U$18)+IF($B$2="mil",1,0.0254)*DDR2Specs!$F$3</f>
        <v>#REF!</v>
      </c>
      <c r="W21" s="18"/>
      <c r="X21" s="534" t="e">
        <f t="shared" si="23"/>
        <v>#REF!</v>
      </c>
      <c r="Y21" s="447" t="e">
        <f t="shared" si="24"/>
        <v>#REF!</v>
      </c>
      <c r="Z21" s="18"/>
      <c r="AA21" s="441">
        <f t="shared" si="25"/>
        <v>3424.1000000000004</v>
      </c>
      <c r="AB21" s="441" t="e">
        <f t="shared" si="40"/>
        <v>#REF!</v>
      </c>
      <c r="AC21" s="441" t="e">
        <f>MAX(AC$17:AC$18)+IF($B$2="mil",1,0.0254)*DDR2Specs!$E$3</f>
        <v>#REF!</v>
      </c>
      <c r="AD21" s="441" t="e">
        <f>MIN(AC$17:AC$18)+IF($B$2="mil",1,0.0254)*DDR2Specs!$F$3</f>
        <v>#REF!</v>
      </c>
      <c r="AE21" s="18"/>
      <c r="AF21" s="534" t="e">
        <f t="shared" si="41"/>
        <v>#REF!</v>
      </c>
      <c r="AG21" s="447" t="e">
        <f t="shared" si="42"/>
        <v>#REF!</v>
      </c>
      <c r="AH21" s="18"/>
      <c r="AI21" s="447" t="e">
        <f t="shared" si="26"/>
        <v>#REF!</v>
      </c>
      <c r="AJ21" s="447" t="e">
        <f t="shared" si="27"/>
        <v>#REF!</v>
      </c>
      <c r="AK21" s="447" t="e">
        <f t="shared" si="28"/>
        <v>#REF!</v>
      </c>
      <c r="AL21" s="447" t="e">
        <f t="shared" si="29"/>
        <v>#REF!</v>
      </c>
      <c r="AM21" s="447" t="e">
        <f t="shared" si="30"/>
        <v>#REF!</v>
      </c>
      <c r="AN21" s="447" t="e">
        <f t="shared" si="31"/>
        <v>#REF!</v>
      </c>
      <c r="AO21" s="447" t="e">
        <f t="shared" si="32"/>
        <v>#REF!</v>
      </c>
      <c r="AP21" s="447" t="e">
        <f t="shared" si="33"/>
        <v>#REF!</v>
      </c>
      <c r="AQ21" s="445" t="e">
        <f t="shared" si="34"/>
        <v>#REF!</v>
      </c>
      <c r="AR21" s="447" t="e">
        <f t="shared" ca="1" si="35"/>
        <v>#NAME?</v>
      </c>
      <c r="AS21" s="447" t="e">
        <f t="shared" ca="1" si="36"/>
        <v>#NAME?</v>
      </c>
      <c r="AT21" s="447" t="e">
        <f t="shared" si="37"/>
        <v>#REF!</v>
      </c>
      <c r="AU21" s="447" t="e">
        <f t="shared" si="38"/>
        <v>#REF!</v>
      </c>
      <c r="AV21" s="18"/>
      <c r="AW21" s="82" t="e">
        <f t="shared" ca="1" si="43"/>
        <v>#REF!</v>
      </c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</row>
    <row r="22" spans="1:65" x14ac:dyDescent="0.2">
      <c r="A22" s="560" t="s">
        <v>181</v>
      </c>
      <c r="B22" s="593" t="s">
        <v>399</v>
      </c>
      <c r="C22" s="584">
        <v>667.04724409448829</v>
      </c>
      <c r="D22" s="16"/>
      <c r="E22" s="17">
        <v>22.63</v>
      </c>
      <c r="F22" s="17">
        <v>0</v>
      </c>
      <c r="G22">
        <v>1370.23</v>
      </c>
      <c r="H22">
        <v>790.03</v>
      </c>
      <c r="I22">
        <v>44.57</v>
      </c>
      <c r="J22" s="17">
        <v>40</v>
      </c>
      <c r="K22">
        <v>85.78</v>
      </c>
      <c r="L22">
        <v>999.3</v>
      </c>
      <c r="M22" s="271">
        <v>0</v>
      </c>
      <c r="N22" s="271">
        <v>0</v>
      </c>
      <c r="O22">
        <v>25.41</v>
      </c>
      <c r="P22">
        <v>25.38</v>
      </c>
      <c r="Q22" s="58"/>
      <c r="R22" s="18"/>
      <c r="S22" s="441">
        <f t="shared" si="22"/>
        <v>3377.9500000000007</v>
      </c>
      <c r="T22" s="441" t="e">
        <f t="shared" si="39"/>
        <v>#REF!</v>
      </c>
      <c r="U22" s="441" t="e">
        <f>MAX(U$17:U$18)+IF($B$2="mil",1,0.0254)*DDR2Specs!$E$3</f>
        <v>#REF!</v>
      </c>
      <c r="V22" s="441" t="e">
        <f>MIN(U$17:U$18)+IF($B$2="mil",1,0.0254)*DDR2Specs!$F$3</f>
        <v>#REF!</v>
      </c>
      <c r="W22" s="18"/>
      <c r="X22" s="534" t="e">
        <f t="shared" si="23"/>
        <v>#REF!</v>
      </c>
      <c r="Y22" s="447" t="e">
        <f t="shared" si="24"/>
        <v>#REF!</v>
      </c>
      <c r="Z22" s="18"/>
      <c r="AA22" s="441">
        <f t="shared" si="25"/>
        <v>3377.920000000001</v>
      </c>
      <c r="AB22" s="441" t="e">
        <f t="shared" si="40"/>
        <v>#REF!</v>
      </c>
      <c r="AC22" s="441" t="e">
        <f>MAX(AC$17:AC$18)+IF($B$2="mil",1,0.0254)*DDR2Specs!$E$3</f>
        <v>#REF!</v>
      </c>
      <c r="AD22" s="441" t="e">
        <f>MIN(AC$17:AC$18)+IF($B$2="mil",1,0.0254)*DDR2Specs!$F$3</f>
        <v>#REF!</v>
      </c>
      <c r="AE22" s="18"/>
      <c r="AF22" s="534" t="e">
        <f t="shared" si="41"/>
        <v>#REF!</v>
      </c>
      <c r="AG22" s="447" t="e">
        <f t="shared" si="42"/>
        <v>#REF!</v>
      </c>
      <c r="AH22" s="18"/>
      <c r="AI22" s="447" t="e">
        <f t="shared" si="26"/>
        <v>#REF!</v>
      </c>
      <c r="AJ22" s="447" t="e">
        <f t="shared" si="27"/>
        <v>#REF!</v>
      </c>
      <c r="AK22" s="447" t="e">
        <f t="shared" si="28"/>
        <v>#REF!</v>
      </c>
      <c r="AL22" s="447" t="e">
        <f t="shared" si="29"/>
        <v>#REF!</v>
      </c>
      <c r="AM22" s="447" t="e">
        <f t="shared" si="30"/>
        <v>#REF!</v>
      </c>
      <c r="AN22" s="447" t="e">
        <f t="shared" si="31"/>
        <v>#REF!</v>
      </c>
      <c r="AO22" s="447" t="e">
        <f t="shared" si="32"/>
        <v>#REF!</v>
      </c>
      <c r="AP22" s="447" t="e">
        <f t="shared" si="33"/>
        <v>#REF!</v>
      </c>
      <c r="AQ22" s="445" t="e">
        <f t="shared" si="34"/>
        <v>#REF!</v>
      </c>
      <c r="AR22" s="447" t="e">
        <f t="shared" ca="1" si="35"/>
        <v>#NAME?</v>
      </c>
      <c r="AS22" s="447" t="e">
        <f t="shared" ca="1" si="36"/>
        <v>#NAME?</v>
      </c>
      <c r="AT22" s="447" t="e">
        <f t="shared" si="37"/>
        <v>#REF!</v>
      </c>
      <c r="AU22" s="447" t="e">
        <f t="shared" si="38"/>
        <v>#REF!</v>
      </c>
      <c r="AV22" s="18"/>
      <c r="AW22" s="82" t="e">
        <f t="shared" ca="1" si="43"/>
        <v>#REF!</v>
      </c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</row>
    <row r="23" spans="1:65" x14ac:dyDescent="0.2">
      <c r="A23" s="560" t="s">
        <v>182</v>
      </c>
      <c r="B23" s="589" t="s">
        <v>513</v>
      </c>
      <c r="C23" s="584">
        <v>600.07874015748041</v>
      </c>
      <c r="D23" s="16"/>
      <c r="E23" s="17">
        <v>22.63</v>
      </c>
      <c r="F23" s="17">
        <v>0</v>
      </c>
      <c r="G23">
        <v>1465.72</v>
      </c>
      <c r="H23">
        <v>734.97</v>
      </c>
      <c r="I23">
        <v>44.57</v>
      </c>
      <c r="J23" s="17">
        <v>40</v>
      </c>
      <c r="K23">
        <v>85.78</v>
      </c>
      <c r="L23">
        <v>1017.96</v>
      </c>
      <c r="M23" s="271">
        <v>0</v>
      </c>
      <c r="N23" s="271">
        <v>0</v>
      </c>
      <c r="O23">
        <v>32.9</v>
      </c>
      <c r="P23">
        <v>32.93</v>
      </c>
      <c r="Q23" s="58"/>
      <c r="R23" s="18"/>
      <c r="S23" s="441">
        <f t="shared" si="22"/>
        <v>3444.5300000000007</v>
      </c>
      <c r="T23" s="441" t="e">
        <f t="shared" si="39"/>
        <v>#REF!</v>
      </c>
      <c r="U23" s="441" t="e">
        <f>MAX(U$17:U$18)+IF($B$2="mil",1,0.0254)*DDR2Specs!$E$3</f>
        <v>#REF!</v>
      </c>
      <c r="V23" s="441" t="e">
        <f>MIN(U$17:U$18)+IF($B$2="mil",1,0.0254)*DDR2Specs!$F$3</f>
        <v>#REF!</v>
      </c>
      <c r="W23" s="18"/>
      <c r="X23" s="534" t="e">
        <f t="shared" si="23"/>
        <v>#REF!</v>
      </c>
      <c r="Y23" s="447" t="e">
        <f t="shared" si="24"/>
        <v>#REF!</v>
      </c>
      <c r="Z23" s="18"/>
      <c r="AA23" s="441">
        <f t="shared" si="25"/>
        <v>3444.5600000000004</v>
      </c>
      <c r="AB23" s="441" t="e">
        <f t="shared" si="40"/>
        <v>#REF!</v>
      </c>
      <c r="AC23" s="441" t="e">
        <f>MAX(AC$17:AC$18)+IF($B$2="mil",1,0.0254)*DDR2Specs!$E$3</f>
        <v>#REF!</v>
      </c>
      <c r="AD23" s="441" t="e">
        <f>MIN(AC$17:AC$18)+IF($B$2="mil",1,0.0254)*DDR2Specs!$F$3</f>
        <v>#REF!</v>
      </c>
      <c r="AE23" s="18"/>
      <c r="AF23" s="534" t="e">
        <f t="shared" si="41"/>
        <v>#REF!</v>
      </c>
      <c r="AG23" s="447" t="e">
        <f t="shared" si="42"/>
        <v>#REF!</v>
      </c>
      <c r="AH23" s="18"/>
      <c r="AI23" s="447" t="e">
        <f t="shared" si="26"/>
        <v>#REF!</v>
      </c>
      <c r="AJ23" s="447" t="e">
        <f t="shared" si="27"/>
        <v>#REF!</v>
      </c>
      <c r="AK23" s="447" t="e">
        <f t="shared" si="28"/>
        <v>#REF!</v>
      </c>
      <c r="AL23" s="447" t="e">
        <f t="shared" si="29"/>
        <v>#REF!</v>
      </c>
      <c r="AM23" s="447" t="e">
        <f t="shared" si="30"/>
        <v>#REF!</v>
      </c>
      <c r="AN23" s="447" t="e">
        <f t="shared" si="31"/>
        <v>#REF!</v>
      </c>
      <c r="AO23" s="447" t="e">
        <f t="shared" si="32"/>
        <v>#REF!</v>
      </c>
      <c r="AP23" s="447" t="e">
        <f t="shared" si="33"/>
        <v>#REF!</v>
      </c>
      <c r="AQ23" s="445" t="e">
        <f t="shared" si="34"/>
        <v>#REF!</v>
      </c>
      <c r="AR23" s="447" t="e">
        <f t="shared" ca="1" si="35"/>
        <v>#NAME?</v>
      </c>
      <c r="AS23" s="447" t="e">
        <f t="shared" ca="1" si="36"/>
        <v>#NAME?</v>
      </c>
      <c r="AT23" s="447" t="e">
        <f t="shared" si="37"/>
        <v>#REF!</v>
      </c>
      <c r="AU23" s="447" t="e">
        <f t="shared" si="38"/>
        <v>#REF!</v>
      </c>
      <c r="AV23" s="18"/>
      <c r="AW23" s="82" t="e">
        <f t="shared" ca="1" si="43"/>
        <v>#REF!</v>
      </c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</row>
    <row r="24" spans="1:65" x14ac:dyDescent="0.2">
      <c r="A24" s="560" t="s">
        <v>183</v>
      </c>
      <c r="B24" s="594" t="s">
        <v>514</v>
      </c>
      <c r="C24" s="584">
        <v>655.98425196850394</v>
      </c>
      <c r="D24" s="16"/>
      <c r="E24" s="17">
        <v>22.63</v>
      </c>
      <c r="F24" s="17">
        <v>0</v>
      </c>
      <c r="G24">
        <v>1361.87</v>
      </c>
      <c r="H24">
        <v>735.54</v>
      </c>
      <c r="I24">
        <v>85.78</v>
      </c>
      <c r="J24" s="17">
        <v>40</v>
      </c>
      <c r="K24">
        <v>44.57</v>
      </c>
      <c r="L24">
        <v>1027.4100000000001</v>
      </c>
      <c r="M24" s="271">
        <v>0</v>
      </c>
      <c r="N24" s="271">
        <v>0</v>
      </c>
      <c r="O24">
        <v>68.03</v>
      </c>
      <c r="P24">
        <v>68</v>
      </c>
      <c r="Q24" s="58"/>
      <c r="R24" s="18"/>
      <c r="S24" s="441">
        <f t="shared" si="22"/>
        <v>3385.8300000000004</v>
      </c>
      <c r="T24" s="441" t="e">
        <f t="shared" si="39"/>
        <v>#REF!</v>
      </c>
      <c r="U24" s="441" t="e">
        <f>MAX(U$17:U$18)+IF($B$2="mil",1,0.0254)*DDR2Specs!$E$3</f>
        <v>#REF!</v>
      </c>
      <c r="V24" s="441" t="e">
        <f>MIN(U$17:U$18)+IF($B$2="mil",1,0.0254)*DDR2Specs!$F$3</f>
        <v>#REF!</v>
      </c>
      <c r="W24" s="18"/>
      <c r="X24" s="534" t="e">
        <f t="shared" si="23"/>
        <v>#REF!</v>
      </c>
      <c r="Y24" s="447" t="e">
        <f t="shared" si="24"/>
        <v>#REF!</v>
      </c>
      <c r="Z24" s="18"/>
      <c r="AA24" s="441">
        <f t="shared" si="25"/>
        <v>3385.8</v>
      </c>
      <c r="AB24" s="441" t="e">
        <f t="shared" si="40"/>
        <v>#REF!</v>
      </c>
      <c r="AC24" s="441" t="e">
        <f>MAX(AC$17:AC$18)+IF($B$2="mil",1,0.0254)*DDR2Specs!$E$3</f>
        <v>#REF!</v>
      </c>
      <c r="AD24" s="441" t="e">
        <f>MIN(AC$17:AC$18)+IF($B$2="mil",1,0.0254)*DDR2Specs!$F$3</f>
        <v>#REF!</v>
      </c>
      <c r="AE24" s="18"/>
      <c r="AF24" s="534" t="e">
        <f t="shared" si="41"/>
        <v>#REF!</v>
      </c>
      <c r="AG24" s="447" t="e">
        <f t="shared" si="42"/>
        <v>#REF!</v>
      </c>
      <c r="AH24" s="18"/>
      <c r="AI24" s="447" t="e">
        <f t="shared" si="26"/>
        <v>#REF!</v>
      </c>
      <c r="AJ24" s="447" t="e">
        <f t="shared" si="27"/>
        <v>#REF!</v>
      </c>
      <c r="AK24" s="447" t="e">
        <f t="shared" si="28"/>
        <v>#REF!</v>
      </c>
      <c r="AL24" s="447" t="e">
        <f t="shared" si="29"/>
        <v>#REF!</v>
      </c>
      <c r="AM24" s="447" t="e">
        <f t="shared" si="30"/>
        <v>#REF!</v>
      </c>
      <c r="AN24" s="447" t="e">
        <f t="shared" si="31"/>
        <v>#REF!</v>
      </c>
      <c r="AO24" s="447" t="e">
        <f t="shared" si="32"/>
        <v>#REF!</v>
      </c>
      <c r="AP24" s="447" t="e">
        <f t="shared" si="33"/>
        <v>#REF!</v>
      </c>
      <c r="AQ24" s="445" t="e">
        <f t="shared" si="34"/>
        <v>#REF!</v>
      </c>
      <c r="AR24" s="447" t="e">
        <f t="shared" ca="1" si="35"/>
        <v>#NAME?</v>
      </c>
      <c r="AS24" s="447" t="e">
        <f t="shared" ca="1" si="36"/>
        <v>#NAME?</v>
      </c>
      <c r="AT24" s="447" t="e">
        <f t="shared" si="37"/>
        <v>#REF!</v>
      </c>
      <c r="AU24" s="447" t="e">
        <f t="shared" si="38"/>
        <v>#REF!</v>
      </c>
      <c r="AV24" s="18"/>
      <c r="AW24" s="82" t="e">
        <f t="shared" ca="1" si="43"/>
        <v>#REF!</v>
      </c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</row>
    <row r="25" spans="1:65" x14ac:dyDescent="0.2">
      <c r="A25" s="560" t="s">
        <v>281</v>
      </c>
      <c r="B25" s="589" t="s">
        <v>515</v>
      </c>
      <c r="C25" s="584">
        <v>589.64566929133866</v>
      </c>
      <c r="D25" s="16"/>
      <c r="E25" s="17">
        <v>22.63</v>
      </c>
      <c r="F25" s="17">
        <v>0</v>
      </c>
      <c r="G25">
        <v>1440.89</v>
      </c>
      <c r="H25">
        <v>695.56</v>
      </c>
      <c r="I25">
        <v>44.57</v>
      </c>
      <c r="J25" s="17">
        <v>40</v>
      </c>
      <c r="K25">
        <v>85.78</v>
      </c>
      <c r="L25">
        <v>1020.94</v>
      </c>
      <c r="M25" s="271">
        <v>0</v>
      </c>
      <c r="N25" s="271">
        <v>0</v>
      </c>
      <c r="O25">
        <v>102.17</v>
      </c>
      <c r="P25">
        <v>102.2</v>
      </c>
      <c r="Q25" s="58"/>
      <c r="R25" s="18"/>
      <c r="S25" s="441">
        <f t="shared" si="22"/>
        <v>3452.5400000000004</v>
      </c>
      <c r="T25" s="441" t="e">
        <f t="shared" si="39"/>
        <v>#REF!</v>
      </c>
      <c r="U25" s="441" t="e">
        <f>MAX(U$17:U$18)+IF($B$2="mil",1,0.0254)*DDR2Specs!$E$3</f>
        <v>#REF!</v>
      </c>
      <c r="V25" s="441" t="e">
        <f>MIN(U$17:U$18)+IF($B$2="mil",1,0.0254)*DDR2Specs!$F$3</f>
        <v>#REF!</v>
      </c>
      <c r="W25" s="18"/>
      <c r="X25" s="534" t="e">
        <f t="shared" si="23"/>
        <v>#REF!</v>
      </c>
      <c r="Y25" s="447" t="e">
        <f t="shared" si="24"/>
        <v>#REF!</v>
      </c>
      <c r="Z25" s="18"/>
      <c r="AA25" s="441">
        <f t="shared" si="25"/>
        <v>3452.57</v>
      </c>
      <c r="AB25" s="441" t="e">
        <f t="shared" si="40"/>
        <v>#REF!</v>
      </c>
      <c r="AC25" s="441" t="e">
        <f>MAX(AC$17:AC$18)+IF($B$2="mil",1,0.0254)*DDR2Specs!$E$3</f>
        <v>#REF!</v>
      </c>
      <c r="AD25" s="441" t="e">
        <f>MIN(AC$17:AC$18)+IF($B$2="mil",1,0.0254)*DDR2Specs!$F$3</f>
        <v>#REF!</v>
      </c>
      <c r="AE25" s="18"/>
      <c r="AF25" s="534" t="e">
        <f t="shared" si="41"/>
        <v>#REF!</v>
      </c>
      <c r="AG25" s="447" t="e">
        <f t="shared" si="42"/>
        <v>#REF!</v>
      </c>
      <c r="AH25" s="18"/>
      <c r="AI25" s="447" t="e">
        <f t="shared" si="26"/>
        <v>#REF!</v>
      </c>
      <c r="AJ25" s="447" t="e">
        <f t="shared" si="27"/>
        <v>#REF!</v>
      </c>
      <c r="AK25" s="447" t="e">
        <f t="shared" si="28"/>
        <v>#REF!</v>
      </c>
      <c r="AL25" s="447" t="e">
        <f t="shared" si="29"/>
        <v>#REF!</v>
      </c>
      <c r="AM25" s="447" t="e">
        <f t="shared" si="30"/>
        <v>#REF!</v>
      </c>
      <c r="AN25" s="447" t="e">
        <f t="shared" si="31"/>
        <v>#REF!</v>
      </c>
      <c r="AO25" s="447" t="e">
        <f t="shared" si="32"/>
        <v>#REF!</v>
      </c>
      <c r="AP25" s="447" t="e">
        <f t="shared" si="33"/>
        <v>#REF!</v>
      </c>
      <c r="AQ25" s="445" t="e">
        <f t="shared" si="34"/>
        <v>#REF!</v>
      </c>
      <c r="AR25" s="447" t="e">
        <f t="shared" ca="1" si="35"/>
        <v>#NAME?</v>
      </c>
      <c r="AS25" s="447" t="e">
        <f t="shared" ca="1" si="36"/>
        <v>#NAME?</v>
      </c>
      <c r="AT25" s="447" t="e">
        <f t="shared" si="37"/>
        <v>#REF!</v>
      </c>
      <c r="AU25" s="447" t="e">
        <f t="shared" si="38"/>
        <v>#REF!</v>
      </c>
      <c r="AV25" s="18"/>
      <c r="AW25" s="82" t="e">
        <f t="shared" ca="1" si="43"/>
        <v>#REF!</v>
      </c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</row>
    <row r="26" spans="1:65" x14ac:dyDescent="0.2">
      <c r="A26" s="560" t="s">
        <v>184</v>
      </c>
      <c r="B26" s="589" t="s">
        <v>516</v>
      </c>
      <c r="C26" s="584">
        <v>669.29133858267721</v>
      </c>
      <c r="D26" s="16"/>
      <c r="E26" s="17">
        <v>22.63</v>
      </c>
      <c r="F26" s="17">
        <v>0</v>
      </c>
      <c r="G26">
        <v>1389.71</v>
      </c>
      <c r="H26">
        <v>775.64</v>
      </c>
      <c r="I26">
        <v>81.64</v>
      </c>
      <c r="J26" s="17">
        <v>40</v>
      </c>
      <c r="K26">
        <v>44.57</v>
      </c>
      <c r="L26">
        <v>958.31</v>
      </c>
      <c r="M26" s="271">
        <v>0</v>
      </c>
      <c r="N26" s="271">
        <v>0</v>
      </c>
      <c r="O26">
        <v>67.8</v>
      </c>
      <c r="P26">
        <v>67.77</v>
      </c>
      <c r="Q26" s="58"/>
      <c r="R26" s="18"/>
      <c r="S26" s="441">
        <f t="shared" si="22"/>
        <v>3380.3</v>
      </c>
      <c r="T26" s="441" t="e">
        <f t="shared" si="39"/>
        <v>#REF!</v>
      </c>
      <c r="U26" s="441" t="e">
        <f>MAX(U$17:U$18)+IF($B$2="mil",1,0.0254)*DDR2Specs!$E$3</f>
        <v>#REF!</v>
      </c>
      <c r="V26" s="441" t="e">
        <f>MIN(U$17:U$18)+IF($B$2="mil",1,0.0254)*DDR2Specs!$F$3</f>
        <v>#REF!</v>
      </c>
      <c r="W26" s="18"/>
      <c r="X26" s="534" t="e">
        <f t="shared" si="23"/>
        <v>#REF!</v>
      </c>
      <c r="Y26" s="447" t="e">
        <f t="shared" si="24"/>
        <v>#REF!</v>
      </c>
      <c r="Z26" s="18"/>
      <c r="AA26" s="441">
        <f t="shared" si="25"/>
        <v>3380.27</v>
      </c>
      <c r="AB26" s="441" t="e">
        <f t="shared" si="40"/>
        <v>#REF!</v>
      </c>
      <c r="AC26" s="441" t="e">
        <f>MAX(AC$17:AC$18)+IF($B$2="mil",1,0.0254)*DDR2Specs!$E$3</f>
        <v>#REF!</v>
      </c>
      <c r="AD26" s="441" t="e">
        <f>MIN(AC$17:AC$18)+IF($B$2="mil",1,0.0254)*DDR2Specs!$F$3</f>
        <v>#REF!</v>
      </c>
      <c r="AE26" s="18"/>
      <c r="AF26" s="534" t="e">
        <f t="shared" si="41"/>
        <v>#REF!</v>
      </c>
      <c r="AG26" s="447" t="e">
        <f t="shared" si="42"/>
        <v>#REF!</v>
      </c>
      <c r="AH26" s="18"/>
      <c r="AI26" s="447" t="e">
        <f t="shared" si="26"/>
        <v>#REF!</v>
      </c>
      <c r="AJ26" s="447" t="e">
        <f t="shared" si="27"/>
        <v>#REF!</v>
      </c>
      <c r="AK26" s="447" t="e">
        <f t="shared" si="28"/>
        <v>#REF!</v>
      </c>
      <c r="AL26" s="447" t="e">
        <f t="shared" si="29"/>
        <v>#REF!</v>
      </c>
      <c r="AM26" s="447" t="e">
        <f t="shared" si="30"/>
        <v>#REF!</v>
      </c>
      <c r="AN26" s="447" t="e">
        <f t="shared" si="31"/>
        <v>#REF!</v>
      </c>
      <c r="AO26" s="447" t="e">
        <f t="shared" si="32"/>
        <v>#REF!</v>
      </c>
      <c r="AP26" s="447" t="e">
        <f t="shared" si="33"/>
        <v>#REF!</v>
      </c>
      <c r="AQ26" s="445" t="e">
        <f t="shared" si="34"/>
        <v>#REF!</v>
      </c>
      <c r="AR26" s="447" t="e">
        <f t="shared" ca="1" si="35"/>
        <v>#NAME?</v>
      </c>
      <c r="AS26" s="447" t="e">
        <f t="shared" ca="1" si="36"/>
        <v>#NAME?</v>
      </c>
      <c r="AT26" s="447" t="e">
        <f t="shared" si="37"/>
        <v>#REF!</v>
      </c>
      <c r="AU26" s="447" t="e">
        <f t="shared" si="38"/>
        <v>#REF!</v>
      </c>
      <c r="AV26" s="18"/>
      <c r="AW26" s="82" t="e">
        <f t="shared" ca="1" si="43"/>
        <v>#REF!</v>
      </c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</row>
    <row r="27" spans="1:65" x14ac:dyDescent="0.2">
      <c r="A27" s="560" t="s">
        <v>185</v>
      </c>
      <c r="B27" s="590" t="s">
        <v>554</v>
      </c>
      <c r="C27" s="584">
        <v>627.91338582677167</v>
      </c>
      <c r="D27" s="16"/>
      <c r="E27" s="17">
        <v>22.63</v>
      </c>
      <c r="F27" s="17">
        <v>0</v>
      </c>
      <c r="G27">
        <v>1427.15</v>
      </c>
      <c r="H27">
        <v>727.49</v>
      </c>
      <c r="I27">
        <v>29.57</v>
      </c>
      <c r="J27" s="17">
        <v>40</v>
      </c>
      <c r="K27">
        <v>85.78</v>
      </c>
      <c r="L27">
        <v>999.62</v>
      </c>
      <c r="M27" s="271">
        <v>0</v>
      </c>
      <c r="N27" s="271">
        <v>0</v>
      </c>
      <c r="O27">
        <v>75.42</v>
      </c>
      <c r="P27">
        <v>76.09</v>
      </c>
      <c r="Q27" s="58"/>
      <c r="R27" s="18"/>
      <c r="S27" s="441">
        <f t="shared" si="22"/>
        <v>3407.6600000000008</v>
      </c>
      <c r="T27" s="441" t="e">
        <f t="shared" si="39"/>
        <v>#REF!</v>
      </c>
      <c r="U27" s="441" t="e">
        <f>MAX(U$17:U$18)+IF($B$2="mil",1,0.0254)*DDR2Specs!$E$3</f>
        <v>#REF!</v>
      </c>
      <c r="V27" s="441" t="e">
        <f>MIN(U$17:U$18)+IF($B$2="mil",1,0.0254)*DDR2Specs!$F$3</f>
        <v>#REF!</v>
      </c>
      <c r="W27" s="18"/>
      <c r="X27" s="534" t="e">
        <f t="shared" si="23"/>
        <v>#REF!</v>
      </c>
      <c r="Y27" s="447" t="e">
        <f t="shared" si="24"/>
        <v>#REF!</v>
      </c>
      <c r="Z27" s="18"/>
      <c r="AA27" s="441">
        <f t="shared" si="25"/>
        <v>3408.3300000000008</v>
      </c>
      <c r="AB27" s="441" t="e">
        <f t="shared" si="40"/>
        <v>#REF!</v>
      </c>
      <c r="AC27" s="441" t="e">
        <f>MAX(AC$17:AC$18)+IF($B$2="mil",1,0.0254)*DDR2Specs!$E$3</f>
        <v>#REF!</v>
      </c>
      <c r="AD27" s="441" t="e">
        <f>MIN(AC$17:AC$18)+IF($B$2="mil",1,0.0254)*DDR2Specs!$F$3</f>
        <v>#REF!</v>
      </c>
      <c r="AE27" s="18"/>
      <c r="AF27" s="534" t="e">
        <f t="shared" si="41"/>
        <v>#REF!</v>
      </c>
      <c r="AG27" s="447" t="e">
        <f t="shared" si="42"/>
        <v>#REF!</v>
      </c>
      <c r="AH27" s="18"/>
      <c r="AI27" s="447" t="e">
        <f t="shared" si="26"/>
        <v>#REF!</v>
      </c>
      <c r="AJ27" s="447" t="e">
        <f t="shared" si="27"/>
        <v>#REF!</v>
      </c>
      <c r="AK27" s="447" t="e">
        <f t="shared" si="28"/>
        <v>#REF!</v>
      </c>
      <c r="AL27" s="447" t="e">
        <f t="shared" si="29"/>
        <v>#REF!</v>
      </c>
      <c r="AM27" s="447" t="e">
        <f t="shared" si="30"/>
        <v>#REF!</v>
      </c>
      <c r="AN27" s="447" t="e">
        <f t="shared" si="31"/>
        <v>#REF!</v>
      </c>
      <c r="AO27" s="447" t="e">
        <f t="shared" si="32"/>
        <v>#REF!</v>
      </c>
      <c r="AP27" s="447" t="e">
        <f t="shared" si="33"/>
        <v>#REF!</v>
      </c>
      <c r="AQ27" s="445" t="e">
        <f t="shared" si="34"/>
        <v>#REF!</v>
      </c>
      <c r="AR27" s="447" t="e">
        <f t="shared" ca="1" si="35"/>
        <v>#NAME?</v>
      </c>
      <c r="AS27" s="447" t="e">
        <f t="shared" ca="1" si="36"/>
        <v>#NAME?</v>
      </c>
      <c r="AT27" s="447" t="e">
        <f t="shared" si="37"/>
        <v>#REF!</v>
      </c>
      <c r="AU27" s="447" t="e">
        <f t="shared" si="38"/>
        <v>#REF!</v>
      </c>
      <c r="AV27" s="18"/>
      <c r="AW27" s="82" t="e">
        <f t="shared" ca="1" si="43"/>
        <v>#REF!</v>
      </c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</row>
    <row r="28" spans="1:65" x14ac:dyDescent="0.2">
      <c r="A28" s="563" t="s">
        <v>247</v>
      </c>
      <c r="B28" s="591"/>
      <c r="C28" s="585"/>
      <c r="D28" s="51"/>
      <c r="E28" s="68"/>
      <c r="F28" s="68"/>
      <c r="G28" s="394"/>
      <c r="H28" s="265"/>
      <c r="I28" s="265"/>
      <c r="J28" s="265"/>
      <c r="K28" s="265"/>
      <c r="L28" s="265"/>
      <c r="M28" s="265"/>
      <c r="N28" s="265"/>
      <c r="O28" s="265"/>
      <c r="P28" s="265"/>
      <c r="Q28" s="8"/>
      <c r="R28" s="540"/>
      <c r="S28" s="68"/>
      <c r="T28" s="539"/>
      <c r="U28" s="539"/>
      <c r="V28" s="540"/>
      <c r="W28" s="540"/>
      <c r="X28" s="541"/>
      <c r="Y28" s="15"/>
      <c r="Z28" s="540"/>
      <c r="AA28" s="68"/>
      <c r="AB28" s="539"/>
      <c r="AC28" s="539"/>
      <c r="AD28" s="540"/>
      <c r="AE28" s="540"/>
      <c r="AF28" s="541"/>
      <c r="AG28" s="15"/>
      <c r="AH28" s="540"/>
      <c r="AI28" s="15"/>
      <c r="AJ28" s="15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69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</row>
    <row r="29" spans="1:65" x14ac:dyDescent="0.2">
      <c r="A29" s="576" t="str">
        <f>'DDR2 Strobes - 2x16'!$A$17</f>
        <v>SA_DQS2</v>
      </c>
      <c r="B29" s="592" t="str">
        <f>'DDR2 Strobes - 2x16'!$B$17</f>
        <v>AB24</v>
      </c>
      <c r="C29" s="586"/>
      <c r="D29" s="44"/>
      <c r="E29" s="67"/>
      <c r="F29" s="67"/>
      <c r="G29" s="395"/>
      <c r="H29" s="266"/>
      <c r="I29" s="266"/>
      <c r="J29" s="266"/>
      <c r="K29" s="266"/>
      <c r="L29" s="266"/>
      <c r="M29" s="266"/>
      <c r="N29" s="266"/>
      <c r="O29" s="266"/>
      <c r="P29" s="266"/>
      <c r="Q29" s="67"/>
      <c r="R29" s="48"/>
      <c r="S29" s="67"/>
      <c r="T29" s="48"/>
      <c r="U29" s="48" t="e">
        <f>'DDR2 Strobes - 2x16'!$U$17</f>
        <v>#REF!</v>
      </c>
      <c r="V29" s="48"/>
      <c r="W29" s="48"/>
      <c r="X29" s="48"/>
      <c r="Y29" s="542"/>
      <c r="Z29" s="48"/>
      <c r="AA29" s="67"/>
      <c r="AB29" s="48"/>
      <c r="AC29" s="48" t="e">
        <f>'DDR2 Strobes - 2x16'!$AC$17</f>
        <v>#REF!</v>
      </c>
      <c r="AD29" s="48"/>
      <c r="AE29" s="48"/>
      <c r="AF29" s="48"/>
      <c r="AG29" s="542"/>
      <c r="AH29" s="48"/>
      <c r="AI29" s="542"/>
      <c r="AJ29" s="542"/>
      <c r="AK29" s="542"/>
      <c r="AL29" s="542"/>
      <c r="AM29" s="542"/>
      <c r="AN29" s="542"/>
      <c r="AO29" s="542"/>
      <c r="AP29" s="542"/>
      <c r="AQ29" s="542"/>
      <c r="AR29" s="542"/>
      <c r="AS29" s="542"/>
      <c r="AT29" s="542"/>
      <c r="AU29" s="542"/>
      <c r="AV29" s="48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</row>
    <row r="30" spans="1:65" x14ac:dyDescent="0.2">
      <c r="A30" s="576" t="str">
        <f>'DDR2 Strobes - 2x16'!$A$18</f>
        <v>SA_DQS2#</v>
      </c>
      <c r="B30" s="592" t="str">
        <f>'DDR2 Strobes - 2x16'!$B$18</f>
        <v>AB22</v>
      </c>
      <c r="C30" s="586"/>
      <c r="D30" s="44"/>
      <c r="E30" s="67"/>
      <c r="F30" s="67"/>
      <c r="G30" s="395"/>
      <c r="H30" s="266"/>
      <c r="I30" s="266"/>
      <c r="J30" s="266"/>
      <c r="K30" s="266"/>
      <c r="L30" s="266"/>
      <c r="M30" s="266"/>
      <c r="N30" s="266"/>
      <c r="O30" s="266"/>
      <c r="P30" s="266"/>
      <c r="Q30" s="67"/>
      <c r="R30" s="48"/>
      <c r="S30" s="536"/>
      <c r="T30" s="537"/>
      <c r="U30" s="48" t="e">
        <f>'DDR2 Strobes - 2x16'!$U$18</f>
        <v>#REF!</v>
      </c>
      <c r="V30" s="48"/>
      <c r="W30" s="48"/>
      <c r="X30" s="48"/>
      <c r="Y30" s="542"/>
      <c r="Z30" s="48"/>
      <c r="AA30" s="536"/>
      <c r="AB30" s="537"/>
      <c r="AC30" s="48" t="e">
        <f>'DDR2 Strobes - 2x16'!$AC$18</f>
        <v>#REF!</v>
      </c>
      <c r="AD30" s="48"/>
      <c r="AE30" s="48"/>
      <c r="AF30" s="48"/>
      <c r="AG30" s="542"/>
      <c r="AH30" s="48"/>
      <c r="AI30" s="542"/>
      <c r="AJ30" s="542"/>
      <c r="AK30" s="543"/>
      <c r="AL30" s="543"/>
      <c r="AM30" s="543"/>
      <c r="AN30" s="543"/>
      <c r="AO30" s="543"/>
      <c r="AP30" s="543"/>
      <c r="AQ30" s="543"/>
      <c r="AR30" s="543"/>
      <c r="AS30" s="543"/>
      <c r="AT30" s="543"/>
      <c r="AU30" s="543"/>
      <c r="AV30" s="48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</row>
    <row r="31" spans="1:65" x14ac:dyDescent="0.2">
      <c r="A31" s="560" t="s">
        <v>186</v>
      </c>
      <c r="B31" s="589" t="s">
        <v>517</v>
      </c>
      <c r="C31" s="584">
        <v>532.63779527559052</v>
      </c>
      <c r="D31" s="16"/>
      <c r="E31" s="17">
        <v>22.63</v>
      </c>
      <c r="F31" s="17">
        <v>0</v>
      </c>
      <c r="G31">
        <v>1185</v>
      </c>
      <c r="H31">
        <v>779.42</v>
      </c>
      <c r="I31">
        <v>79</v>
      </c>
      <c r="J31" s="17">
        <v>40</v>
      </c>
      <c r="K31">
        <v>43.4</v>
      </c>
      <c r="L31">
        <v>1122.3699999999999</v>
      </c>
      <c r="M31" s="271">
        <v>0</v>
      </c>
      <c r="N31" s="271">
        <v>0</v>
      </c>
      <c r="O31">
        <v>108.87</v>
      </c>
      <c r="P31">
        <v>108.88</v>
      </c>
      <c r="Q31" s="58"/>
      <c r="R31" s="18"/>
      <c r="S31" s="441">
        <f t="shared" ref="S31:S39" si="44">SUM(E31:G31,H31:M31,O31)</f>
        <v>3380.69</v>
      </c>
      <c r="T31" s="441" t="e">
        <f>S31+IF($B$2="mil",1,0.0254)*$C31</f>
        <v>#REF!</v>
      </c>
      <c r="U31" s="441" t="e">
        <f>MAX(U$29:U$30)+IF($B$2="mil",1,0.0254)*DDR2Specs!$E$3</f>
        <v>#REF!</v>
      </c>
      <c r="V31" s="441" t="e">
        <f>MIN(U$29:U$30)+IF($B$2="mil",1,0.0254)*DDR2Specs!$F$3</f>
        <v>#REF!</v>
      </c>
      <c r="W31" s="18"/>
      <c r="X31" s="534" t="e">
        <f t="shared" ref="X31:X39" si="45">IF($T31&lt;$U31,$U31-$T31,"Pass")</f>
        <v>#REF!</v>
      </c>
      <c r="Y31" s="447" t="e">
        <f t="shared" ref="Y31:Y39" si="46">IF($T31&gt;$V31,$T31-$V31,"Pass")</f>
        <v>#REF!</v>
      </c>
      <c r="Z31" s="18"/>
      <c r="AA31" s="441">
        <f t="shared" ref="AA31:AA39" si="47">SUM(E31:G31,H31:L31,N31,P31)</f>
        <v>3380.7000000000003</v>
      </c>
      <c r="AB31" s="441" t="e">
        <f>AA31+IF($B$2="mil",1,0.0254)*$C31</f>
        <v>#REF!</v>
      </c>
      <c r="AC31" s="441" t="e">
        <f>MAX(AC$29:AC$30)+IF($B$2="mil",1,0.0254)*DDR2Specs!$E$3</f>
        <v>#REF!</v>
      </c>
      <c r="AD31" s="441" t="e">
        <f>MIN(AC$29:AC$30)+IF($B$2="mil",1,0.0254)*DDR2Specs!$F$3</f>
        <v>#REF!</v>
      </c>
      <c r="AE31" s="18"/>
      <c r="AF31" s="534" t="e">
        <f>IF($AB31&lt;$AC31,$AC31-$AB31,"Pass")</f>
        <v>#REF!</v>
      </c>
      <c r="AG31" s="447" t="e">
        <f>IF($AB31&gt;$AD31,$AB31-$AD31,"Pass")</f>
        <v>#REF!</v>
      </c>
      <c r="AH31" s="18"/>
      <c r="AI31" s="447" t="e">
        <f t="shared" ref="AI31:AI39" si="48">IF($E31&lt;=IF($B$2="mil",1,0.0254)*50,"Pass",IF($B$2="mil",1,0.0254)*50-$E31)</f>
        <v>#REF!</v>
      </c>
      <c r="AJ31" s="447" t="e">
        <f t="shared" ref="AJ31:AJ39" si="49">IF($F31&lt;=IF($B$2="mil",1,0.0254)*500,"Pass",IF($B$2="mil",1,0.0254)*500-$F31)</f>
        <v>#REF!</v>
      </c>
      <c r="AK31" s="447" t="e">
        <f t="shared" ref="AK31:AK39" si="50">IF(($G31+$H31)&lt;=IF($B$2="mil",1,0.0254)*2750,"Pass",IF($B$2="mil",1,0.0254)*2750-($G31+D31))</f>
        <v>#REF!</v>
      </c>
      <c r="AL31" s="447" t="e">
        <f t="shared" ref="AL31:AL39" si="51">IF($I31&lt;=IF($B$2="mil",1,0.0254)*125,"Pass",IF($B$2="mil",1,0.0254)*125-$I31)</f>
        <v>#REF!</v>
      </c>
      <c r="AM31" s="447" t="e">
        <f t="shared" ref="AM31:AM39" si="52">IF($K31&lt;=IF($B$2="mil",1,0.0254)*125,"Pass",IF($B$2="mil",1,0.0254)*125-$K31)</f>
        <v>#REF!</v>
      </c>
      <c r="AN31" s="447" t="e">
        <f t="shared" ref="AN31:AN39" si="53">IF(($K31+$L31)&lt;=IF($B$2="mil",1,0.0254)*1350,"Pass",IF($B$2="mil",1,0.0254)*1350-($K31+L31))</f>
        <v>#REF!</v>
      </c>
      <c r="AO31" s="447" t="e">
        <f t="shared" ref="AO31:AO39" si="54">IF($M31&lt;=IF($B$2="mil",1,0.0254)*650,"Pass",IF($B$2="mil",1,0.0254)*650-$M31)</f>
        <v>#REF!</v>
      </c>
      <c r="AP31" s="447" t="e">
        <f t="shared" ref="AP31:AP39" si="55">IF($N31&lt;=IF($B$2="mil",1,0.0254)*650,"Pass",IF($B$2="mil",1,0.0254)*650-$N31)</f>
        <v>#REF!</v>
      </c>
      <c r="AQ31" s="445" t="e">
        <f t="shared" ref="AQ31:AQ39" si="56">IF(MAX(M31:N31)-MIN(M31:N31)&lt;=IF($B$2="mil",1,0.0254)*50,"Pass",MAX(M31:N31)-MIN(M31:N31)-IF($B$2="mil",1,0.0254)*50)</f>
        <v>#REF!</v>
      </c>
      <c r="AR31" s="447" t="e">
        <f t="shared" ref="AR31:AR39" ca="1" si="57">CheckLength2(IF($B$2="mil",1,0.0254)*800,$O31,M31,0)</f>
        <v>#NAME?</v>
      </c>
      <c r="AS31" s="447" t="e">
        <f t="shared" ref="AS31:AS39" ca="1" si="58">CheckLength2(IF($B$2="mil",1,0.0254)*800,$P31,N31,0)</f>
        <v>#NAME?</v>
      </c>
      <c r="AT31" s="447" t="e">
        <f t="shared" ref="AT31:AT39" si="59">IF(AND($S31&gt;=IF($B$2="mil",1,0.0254)*500, $S31&lt;=IF($B$2="mil",1,0.0254)*5500),"Pass",IF($B$2="mil",1,0.0254)*5500-$S31)</f>
        <v>#REF!</v>
      </c>
      <c r="AU31" s="447" t="e">
        <f t="shared" ref="AU31:AU39" si="60">IF(AND($T31&gt;=IF($B$2="mil",1,0.0254)*500, $T31&lt;=IF($B$2="mil",1,0.0254)*6000),"Pass",IF($B$2="mil",1,0.0254)*6000-$T31)</f>
        <v>#REF!</v>
      </c>
      <c r="AV31" s="18"/>
      <c r="AW31" s="82" t="e">
        <f ca="1">IF(AND(AF31="Pass",AG31="Pass",AI31="Pass",AJ31="Pass",AS31="Pass",AN31="Pass",AO31="Pass",AP31="Pass",AQ31="Pass",AR31="Pass",AM31="Pass",AL31="Pass",AK31="Pass",X31="Pass",Y31="Pass",AT31="Pass",AU31="Pass"),"Pass","Fail")</f>
        <v>#REF!</v>
      </c>
      <c r="AX31" s="2" t="e">
        <f ca="1">IF(AND(AW31="Pass",AW32="Pass",AW33="Pass",AW34="Pass",AW35="Pass",AW36="Pass",AW37="Pass",AW38="Pass",AW39="Pass"),"Pass","Fail")</f>
        <v>#REF!</v>
      </c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</row>
    <row r="32" spans="1:65" x14ac:dyDescent="0.2">
      <c r="A32" s="560" t="s">
        <v>187</v>
      </c>
      <c r="B32" s="589" t="s">
        <v>518</v>
      </c>
      <c r="C32" s="584">
        <v>514.9212598425197</v>
      </c>
      <c r="D32" s="16"/>
      <c r="E32" s="17">
        <v>22.63</v>
      </c>
      <c r="F32" s="17">
        <v>0</v>
      </c>
      <c r="G32">
        <v>1188</v>
      </c>
      <c r="H32">
        <v>778.75</v>
      </c>
      <c r="I32">
        <v>85.78</v>
      </c>
      <c r="J32" s="17">
        <v>40</v>
      </c>
      <c r="K32">
        <v>44.57</v>
      </c>
      <c r="L32">
        <v>1205.76</v>
      </c>
      <c r="M32" s="271">
        <v>0</v>
      </c>
      <c r="N32" s="271">
        <v>0</v>
      </c>
      <c r="O32">
        <v>22.26</v>
      </c>
      <c r="P32">
        <v>22.23</v>
      </c>
      <c r="Q32" s="58"/>
      <c r="R32" s="18"/>
      <c r="S32" s="441">
        <f t="shared" si="44"/>
        <v>3387.7500000000009</v>
      </c>
      <c r="T32" s="441" t="e">
        <f t="shared" ref="T32:T39" si="61">S32+IF($B$2="mil",1,0.0254)*$C32</f>
        <v>#REF!</v>
      </c>
      <c r="U32" s="441" t="e">
        <f>MAX(U$29:U$30)+IF($B$2="mil",1,0.0254)*DDR2Specs!$E$3</f>
        <v>#REF!</v>
      </c>
      <c r="V32" s="441" t="e">
        <f>MIN(U$29:U$30)+IF($B$2="mil",1,0.0254)*DDR2Specs!$F$3</f>
        <v>#REF!</v>
      </c>
      <c r="W32" s="18"/>
      <c r="X32" s="534" t="e">
        <f t="shared" si="45"/>
        <v>#REF!</v>
      </c>
      <c r="Y32" s="447" t="e">
        <f t="shared" si="46"/>
        <v>#REF!</v>
      </c>
      <c r="Z32" s="18"/>
      <c r="AA32" s="441">
        <f t="shared" si="47"/>
        <v>3387.7200000000007</v>
      </c>
      <c r="AB32" s="441" t="e">
        <f t="shared" ref="AB32:AB39" si="62">AA32+IF($B$2="mil",1,0.0254)*$C32</f>
        <v>#REF!</v>
      </c>
      <c r="AC32" s="441" t="e">
        <f>MAX(AC$29:AC$30)+IF($B$2="mil",1,0.0254)*DDR2Specs!$E$3</f>
        <v>#REF!</v>
      </c>
      <c r="AD32" s="441" t="e">
        <f>MIN(AC$29:AC$30)+IF($B$2="mil",1,0.0254)*DDR2Specs!$F$3</f>
        <v>#REF!</v>
      </c>
      <c r="AE32" s="18"/>
      <c r="AF32" s="534" t="e">
        <f t="shared" ref="AF32:AF39" si="63">IF($AB32&lt;$AC32,$AC32-$AB32,"Pass")</f>
        <v>#REF!</v>
      </c>
      <c r="AG32" s="447" t="e">
        <f t="shared" ref="AG32:AG39" si="64">IF($AB32&gt;$AD32,$AB32-$AD32,"Pass")</f>
        <v>#REF!</v>
      </c>
      <c r="AH32" s="18"/>
      <c r="AI32" s="447" t="e">
        <f t="shared" si="48"/>
        <v>#REF!</v>
      </c>
      <c r="AJ32" s="447" t="e">
        <f t="shared" si="49"/>
        <v>#REF!</v>
      </c>
      <c r="AK32" s="447" t="e">
        <f t="shared" si="50"/>
        <v>#REF!</v>
      </c>
      <c r="AL32" s="447" t="e">
        <f t="shared" si="51"/>
        <v>#REF!</v>
      </c>
      <c r="AM32" s="447" t="e">
        <f t="shared" si="52"/>
        <v>#REF!</v>
      </c>
      <c r="AN32" s="447" t="e">
        <f t="shared" si="53"/>
        <v>#REF!</v>
      </c>
      <c r="AO32" s="447" t="e">
        <f t="shared" si="54"/>
        <v>#REF!</v>
      </c>
      <c r="AP32" s="447" t="e">
        <f t="shared" si="55"/>
        <v>#REF!</v>
      </c>
      <c r="AQ32" s="445" t="e">
        <f t="shared" si="56"/>
        <v>#REF!</v>
      </c>
      <c r="AR32" s="447" t="e">
        <f t="shared" ca="1" si="57"/>
        <v>#NAME?</v>
      </c>
      <c r="AS32" s="447" t="e">
        <f t="shared" ca="1" si="58"/>
        <v>#NAME?</v>
      </c>
      <c r="AT32" s="447" t="e">
        <f t="shared" si="59"/>
        <v>#REF!</v>
      </c>
      <c r="AU32" s="447" t="e">
        <f t="shared" si="60"/>
        <v>#REF!</v>
      </c>
      <c r="AV32" s="18"/>
      <c r="AW32" s="82" t="e">
        <f t="shared" ref="AW32:AW39" ca="1" si="65">IF(AND(AF32="Pass",AG32="Pass",AI32="Pass",AJ32="Pass",AS32="Pass",AN32="Pass",AO32="Pass",AP32="Pass",AQ32="Pass",AR32="Pass",AM32="Pass",AL32="Pass",AK32="Pass",X32="Pass",Y32="Pass",AT32="Pass",AU32="Pass"),"Pass","Fail")</f>
        <v>#REF!</v>
      </c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</row>
    <row r="33" spans="1:65" x14ac:dyDescent="0.2">
      <c r="A33" s="560" t="s">
        <v>188</v>
      </c>
      <c r="B33" s="589" t="s">
        <v>519</v>
      </c>
      <c r="C33" s="584">
        <v>468.18897637795277</v>
      </c>
      <c r="D33" s="16"/>
      <c r="E33" s="17">
        <v>22.63</v>
      </c>
      <c r="F33" s="17">
        <v>0</v>
      </c>
      <c r="G33">
        <v>1185</v>
      </c>
      <c r="H33">
        <v>845</v>
      </c>
      <c r="I33">
        <v>29.57</v>
      </c>
      <c r="J33" s="17">
        <v>40</v>
      </c>
      <c r="K33">
        <v>85.78</v>
      </c>
      <c r="L33">
        <v>1188.58</v>
      </c>
      <c r="M33" s="271">
        <v>0</v>
      </c>
      <c r="N33" s="271">
        <v>0</v>
      </c>
      <c r="O33">
        <v>40.630000000000003</v>
      </c>
      <c r="P33">
        <v>36.81</v>
      </c>
      <c r="Q33" s="58"/>
      <c r="R33" s="18"/>
      <c r="S33" s="441">
        <f t="shared" si="44"/>
        <v>3437.1900000000005</v>
      </c>
      <c r="T33" s="441" t="e">
        <f t="shared" si="61"/>
        <v>#REF!</v>
      </c>
      <c r="U33" s="441" t="e">
        <f>MAX(U$29:U$30)+IF($B$2="mil",1,0.0254)*DDR2Specs!$E$3</f>
        <v>#REF!</v>
      </c>
      <c r="V33" s="441" t="e">
        <f>MIN(U$29:U$30)+IF($B$2="mil",1,0.0254)*DDR2Specs!$F$3</f>
        <v>#REF!</v>
      </c>
      <c r="W33" s="18"/>
      <c r="X33" s="534" t="e">
        <f t="shared" si="45"/>
        <v>#REF!</v>
      </c>
      <c r="Y33" s="447" t="e">
        <f t="shared" si="46"/>
        <v>#REF!</v>
      </c>
      <c r="Z33" s="18"/>
      <c r="AA33" s="441">
        <f t="shared" si="47"/>
        <v>3433.3700000000003</v>
      </c>
      <c r="AB33" s="441" t="e">
        <f t="shared" si="62"/>
        <v>#REF!</v>
      </c>
      <c r="AC33" s="441" t="e">
        <f>MAX(AC$29:AC$30)+IF($B$2="mil",1,0.0254)*DDR2Specs!$E$3</f>
        <v>#REF!</v>
      </c>
      <c r="AD33" s="441" t="e">
        <f>MIN(AC$29:AC$30)+IF($B$2="mil",1,0.0254)*DDR2Specs!$F$3</f>
        <v>#REF!</v>
      </c>
      <c r="AE33" s="18"/>
      <c r="AF33" s="534" t="e">
        <f t="shared" si="63"/>
        <v>#REF!</v>
      </c>
      <c r="AG33" s="447" t="e">
        <f t="shared" si="64"/>
        <v>#REF!</v>
      </c>
      <c r="AH33" s="18"/>
      <c r="AI33" s="447" t="e">
        <f t="shared" si="48"/>
        <v>#REF!</v>
      </c>
      <c r="AJ33" s="447" t="e">
        <f t="shared" si="49"/>
        <v>#REF!</v>
      </c>
      <c r="AK33" s="447" t="e">
        <f t="shared" si="50"/>
        <v>#REF!</v>
      </c>
      <c r="AL33" s="447" t="e">
        <f t="shared" si="51"/>
        <v>#REF!</v>
      </c>
      <c r="AM33" s="447" t="e">
        <f t="shared" si="52"/>
        <v>#REF!</v>
      </c>
      <c r="AN33" s="447" t="e">
        <f t="shared" si="53"/>
        <v>#REF!</v>
      </c>
      <c r="AO33" s="447" t="e">
        <f t="shared" si="54"/>
        <v>#REF!</v>
      </c>
      <c r="AP33" s="447" t="e">
        <f t="shared" si="55"/>
        <v>#REF!</v>
      </c>
      <c r="AQ33" s="445" t="e">
        <f t="shared" si="56"/>
        <v>#REF!</v>
      </c>
      <c r="AR33" s="447" t="e">
        <f t="shared" ca="1" si="57"/>
        <v>#NAME?</v>
      </c>
      <c r="AS33" s="447" t="e">
        <f t="shared" ca="1" si="58"/>
        <v>#NAME?</v>
      </c>
      <c r="AT33" s="447" t="e">
        <f t="shared" si="59"/>
        <v>#REF!</v>
      </c>
      <c r="AU33" s="447" t="e">
        <f t="shared" si="60"/>
        <v>#REF!</v>
      </c>
      <c r="AV33" s="18"/>
      <c r="AW33" s="82" t="e">
        <f t="shared" ca="1" si="65"/>
        <v>#REF!</v>
      </c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</row>
    <row r="34" spans="1:65" x14ac:dyDescent="0.2">
      <c r="A34" s="560" t="s">
        <v>189</v>
      </c>
      <c r="B34" s="589" t="s">
        <v>520</v>
      </c>
      <c r="C34" s="584">
        <v>494.40944881889766</v>
      </c>
      <c r="D34" s="16"/>
      <c r="E34" s="17">
        <v>22.63</v>
      </c>
      <c r="F34" s="17">
        <v>0</v>
      </c>
      <c r="G34">
        <v>1210</v>
      </c>
      <c r="H34">
        <v>770.06</v>
      </c>
      <c r="I34">
        <v>85.78</v>
      </c>
      <c r="J34" s="17">
        <v>40</v>
      </c>
      <c r="K34">
        <v>44.57</v>
      </c>
      <c r="L34">
        <v>1215.22</v>
      </c>
      <c r="M34" s="271">
        <v>0</v>
      </c>
      <c r="N34" s="271">
        <v>0</v>
      </c>
      <c r="O34">
        <v>22.25</v>
      </c>
      <c r="P34">
        <v>22.28</v>
      </c>
      <c r="Q34" s="58"/>
      <c r="R34" s="18"/>
      <c r="S34" s="441">
        <f t="shared" si="44"/>
        <v>3410.51</v>
      </c>
      <c r="T34" s="441" t="e">
        <f t="shared" si="61"/>
        <v>#REF!</v>
      </c>
      <c r="U34" s="441" t="e">
        <f>MAX(U$29:U$30)+IF($B$2="mil",1,0.0254)*DDR2Specs!$E$3</f>
        <v>#REF!</v>
      </c>
      <c r="V34" s="441" t="e">
        <f>MIN(U$29:U$30)+IF($B$2="mil",1,0.0254)*DDR2Specs!$F$3</f>
        <v>#REF!</v>
      </c>
      <c r="W34" s="18"/>
      <c r="X34" s="534" t="e">
        <f t="shared" si="45"/>
        <v>#REF!</v>
      </c>
      <c r="Y34" s="447" t="e">
        <f t="shared" si="46"/>
        <v>#REF!</v>
      </c>
      <c r="Z34" s="18"/>
      <c r="AA34" s="441">
        <f t="shared" si="47"/>
        <v>3410.5400000000004</v>
      </c>
      <c r="AB34" s="441" t="e">
        <f t="shared" si="62"/>
        <v>#REF!</v>
      </c>
      <c r="AC34" s="441" t="e">
        <f>MAX(AC$29:AC$30)+IF($B$2="mil",1,0.0254)*DDR2Specs!$E$3</f>
        <v>#REF!</v>
      </c>
      <c r="AD34" s="441" t="e">
        <f>MIN(AC$29:AC$30)+IF($B$2="mil",1,0.0254)*DDR2Specs!$F$3</f>
        <v>#REF!</v>
      </c>
      <c r="AE34" s="18"/>
      <c r="AF34" s="534" t="e">
        <f t="shared" si="63"/>
        <v>#REF!</v>
      </c>
      <c r="AG34" s="447" t="e">
        <f t="shared" si="64"/>
        <v>#REF!</v>
      </c>
      <c r="AH34" s="18"/>
      <c r="AI34" s="447" t="e">
        <f t="shared" si="48"/>
        <v>#REF!</v>
      </c>
      <c r="AJ34" s="447" t="e">
        <f t="shared" si="49"/>
        <v>#REF!</v>
      </c>
      <c r="AK34" s="447" t="e">
        <f t="shared" si="50"/>
        <v>#REF!</v>
      </c>
      <c r="AL34" s="447" t="e">
        <f t="shared" si="51"/>
        <v>#REF!</v>
      </c>
      <c r="AM34" s="447" t="e">
        <f t="shared" si="52"/>
        <v>#REF!</v>
      </c>
      <c r="AN34" s="447" t="e">
        <f t="shared" si="53"/>
        <v>#REF!</v>
      </c>
      <c r="AO34" s="447" t="e">
        <f t="shared" si="54"/>
        <v>#REF!</v>
      </c>
      <c r="AP34" s="447" t="e">
        <f t="shared" si="55"/>
        <v>#REF!</v>
      </c>
      <c r="AQ34" s="445" t="e">
        <f t="shared" si="56"/>
        <v>#REF!</v>
      </c>
      <c r="AR34" s="447" t="e">
        <f t="shared" ca="1" si="57"/>
        <v>#NAME?</v>
      </c>
      <c r="AS34" s="447" t="e">
        <f t="shared" ca="1" si="58"/>
        <v>#NAME?</v>
      </c>
      <c r="AT34" s="447" t="e">
        <f t="shared" si="59"/>
        <v>#REF!</v>
      </c>
      <c r="AU34" s="447" t="e">
        <f t="shared" si="60"/>
        <v>#REF!</v>
      </c>
      <c r="AV34" s="18"/>
      <c r="AW34" s="82" t="e">
        <f t="shared" ca="1" si="65"/>
        <v>#REF!</v>
      </c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</row>
    <row r="35" spans="1:65" x14ac:dyDescent="0.2">
      <c r="A35" s="560" t="s">
        <v>190</v>
      </c>
      <c r="B35" s="589" t="s">
        <v>521</v>
      </c>
      <c r="C35" s="584">
        <v>570.90551181102364</v>
      </c>
      <c r="D35" s="16"/>
      <c r="E35" s="17">
        <v>22.63</v>
      </c>
      <c r="F35" s="17">
        <v>0</v>
      </c>
      <c r="G35">
        <v>1075</v>
      </c>
      <c r="H35">
        <v>780.58</v>
      </c>
      <c r="I35">
        <v>85</v>
      </c>
      <c r="J35" s="17">
        <v>40</v>
      </c>
      <c r="K35">
        <v>44.71</v>
      </c>
      <c r="L35">
        <v>1229.5899999999999</v>
      </c>
      <c r="M35" s="271">
        <v>0</v>
      </c>
      <c r="N35" s="271">
        <v>0</v>
      </c>
      <c r="O35">
        <v>65.11</v>
      </c>
      <c r="P35">
        <v>65.14</v>
      </c>
      <c r="Q35" s="58"/>
      <c r="R35" s="18"/>
      <c r="S35" s="441">
        <f t="shared" si="44"/>
        <v>3342.6200000000003</v>
      </c>
      <c r="T35" s="441" t="e">
        <f t="shared" si="61"/>
        <v>#REF!</v>
      </c>
      <c r="U35" s="441" t="e">
        <f>MAX(U$29:U$30)+IF($B$2="mil",1,0.0254)*DDR2Specs!$E$3</f>
        <v>#REF!</v>
      </c>
      <c r="V35" s="441" t="e">
        <f>MIN(U$29:U$30)+IF($B$2="mil",1,0.0254)*DDR2Specs!$F$3</f>
        <v>#REF!</v>
      </c>
      <c r="W35" s="18"/>
      <c r="X35" s="534" t="e">
        <f t="shared" si="45"/>
        <v>#REF!</v>
      </c>
      <c r="Y35" s="447" t="e">
        <f t="shared" si="46"/>
        <v>#REF!</v>
      </c>
      <c r="Z35" s="18"/>
      <c r="AA35" s="441">
        <f t="shared" si="47"/>
        <v>3342.65</v>
      </c>
      <c r="AB35" s="441" t="e">
        <f t="shared" si="62"/>
        <v>#REF!</v>
      </c>
      <c r="AC35" s="441" t="e">
        <f>MAX(AC$29:AC$30)+IF($B$2="mil",1,0.0254)*DDR2Specs!$E$3</f>
        <v>#REF!</v>
      </c>
      <c r="AD35" s="441" t="e">
        <f>MIN(AC$29:AC$30)+IF($B$2="mil",1,0.0254)*DDR2Specs!$F$3</f>
        <v>#REF!</v>
      </c>
      <c r="AE35" s="18"/>
      <c r="AF35" s="534" t="e">
        <f t="shared" si="63"/>
        <v>#REF!</v>
      </c>
      <c r="AG35" s="447" t="e">
        <f t="shared" si="64"/>
        <v>#REF!</v>
      </c>
      <c r="AH35" s="18"/>
      <c r="AI35" s="447" t="e">
        <f t="shared" si="48"/>
        <v>#REF!</v>
      </c>
      <c r="AJ35" s="447" t="e">
        <f t="shared" si="49"/>
        <v>#REF!</v>
      </c>
      <c r="AK35" s="447" t="e">
        <f t="shared" si="50"/>
        <v>#REF!</v>
      </c>
      <c r="AL35" s="447" t="e">
        <f t="shared" si="51"/>
        <v>#REF!</v>
      </c>
      <c r="AM35" s="447" t="e">
        <f t="shared" si="52"/>
        <v>#REF!</v>
      </c>
      <c r="AN35" s="447" t="e">
        <f t="shared" si="53"/>
        <v>#REF!</v>
      </c>
      <c r="AO35" s="447" t="e">
        <f t="shared" si="54"/>
        <v>#REF!</v>
      </c>
      <c r="AP35" s="447" t="e">
        <f t="shared" si="55"/>
        <v>#REF!</v>
      </c>
      <c r="AQ35" s="445" t="e">
        <f t="shared" si="56"/>
        <v>#REF!</v>
      </c>
      <c r="AR35" s="447" t="e">
        <f t="shared" ca="1" si="57"/>
        <v>#NAME?</v>
      </c>
      <c r="AS35" s="447" t="e">
        <f t="shared" ca="1" si="58"/>
        <v>#NAME?</v>
      </c>
      <c r="AT35" s="447" t="e">
        <f t="shared" si="59"/>
        <v>#REF!</v>
      </c>
      <c r="AU35" s="447" t="e">
        <f t="shared" si="60"/>
        <v>#REF!</v>
      </c>
      <c r="AV35" s="18"/>
      <c r="AW35" s="82" t="e">
        <f t="shared" ca="1" si="65"/>
        <v>#REF!</v>
      </c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</row>
    <row r="36" spans="1:65" x14ac:dyDescent="0.2">
      <c r="A36" s="560" t="s">
        <v>191</v>
      </c>
      <c r="B36" s="589" t="s">
        <v>397</v>
      </c>
      <c r="C36" s="584">
        <v>498.14960629921262</v>
      </c>
      <c r="D36" s="16"/>
      <c r="E36" s="17">
        <v>22.63</v>
      </c>
      <c r="F36" s="17">
        <v>0</v>
      </c>
      <c r="G36">
        <v>1185</v>
      </c>
      <c r="H36">
        <v>773.45</v>
      </c>
      <c r="I36">
        <v>96.14</v>
      </c>
      <c r="J36" s="17">
        <v>40</v>
      </c>
      <c r="K36">
        <v>85.78</v>
      </c>
      <c r="L36">
        <v>1188.45</v>
      </c>
      <c r="M36" s="271">
        <v>0</v>
      </c>
      <c r="N36" s="271">
        <v>0</v>
      </c>
      <c r="O36">
        <v>22.3</v>
      </c>
      <c r="P36">
        <v>22.27</v>
      </c>
      <c r="Q36" s="58"/>
      <c r="R36" s="18"/>
      <c r="S36" s="441">
        <f t="shared" si="44"/>
        <v>3413.7500000000009</v>
      </c>
      <c r="T36" s="441" t="e">
        <f t="shared" si="61"/>
        <v>#REF!</v>
      </c>
      <c r="U36" s="441" t="e">
        <f>MAX(U$29:U$30)+IF($B$2="mil",1,0.0254)*DDR2Specs!$E$3</f>
        <v>#REF!</v>
      </c>
      <c r="V36" s="441" t="e">
        <f>MIN(U$29:U$30)+IF($B$2="mil",1,0.0254)*DDR2Specs!$F$3</f>
        <v>#REF!</v>
      </c>
      <c r="W36" s="18"/>
      <c r="X36" s="534" t="e">
        <f t="shared" si="45"/>
        <v>#REF!</v>
      </c>
      <c r="Y36" s="447" t="e">
        <f t="shared" si="46"/>
        <v>#REF!</v>
      </c>
      <c r="Z36" s="18"/>
      <c r="AA36" s="441">
        <f t="shared" si="47"/>
        <v>3413.7200000000007</v>
      </c>
      <c r="AB36" s="441" t="e">
        <f t="shared" si="62"/>
        <v>#REF!</v>
      </c>
      <c r="AC36" s="441" t="e">
        <f>MAX(AC$29:AC$30)+IF($B$2="mil",1,0.0254)*DDR2Specs!$E$3</f>
        <v>#REF!</v>
      </c>
      <c r="AD36" s="441" t="e">
        <f>MIN(AC$29:AC$30)+IF($B$2="mil",1,0.0254)*DDR2Specs!$F$3</f>
        <v>#REF!</v>
      </c>
      <c r="AE36" s="18"/>
      <c r="AF36" s="534" t="e">
        <f t="shared" si="63"/>
        <v>#REF!</v>
      </c>
      <c r="AG36" s="447" t="e">
        <f t="shared" si="64"/>
        <v>#REF!</v>
      </c>
      <c r="AH36" s="18"/>
      <c r="AI36" s="447" t="e">
        <f t="shared" si="48"/>
        <v>#REF!</v>
      </c>
      <c r="AJ36" s="447" t="e">
        <f t="shared" si="49"/>
        <v>#REF!</v>
      </c>
      <c r="AK36" s="447" t="e">
        <f t="shared" si="50"/>
        <v>#REF!</v>
      </c>
      <c r="AL36" s="447" t="e">
        <f t="shared" si="51"/>
        <v>#REF!</v>
      </c>
      <c r="AM36" s="447" t="e">
        <f t="shared" si="52"/>
        <v>#REF!</v>
      </c>
      <c r="AN36" s="447" t="e">
        <f t="shared" si="53"/>
        <v>#REF!</v>
      </c>
      <c r="AO36" s="447" t="e">
        <f t="shared" si="54"/>
        <v>#REF!</v>
      </c>
      <c r="AP36" s="447" t="e">
        <f t="shared" si="55"/>
        <v>#REF!</v>
      </c>
      <c r="AQ36" s="445" t="e">
        <f t="shared" si="56"/>
        <v>#REF!</v>
      </c>
      <c r="AR36" s="447" t="e">
        <f t="shared" ca="1" si="57"/>
        <v>#NAME?</v>
      </c>
      <c r="AS36" s="447" t="e">
        <f t="shared" ca="1" si="58"/>
        <v>#NAME?</v>
      </c>
      <c r="AT36" s="447" t="e">
        <f t="shared" si="59"/>
        <v>#REF!</v>
      </c>
      <c r="AU36" s="447" t="e">
        <f t="shared" si="60"/>
        <v>#REF!</v>
      </c>
      <c r="AV36" s="18"/>
      <c r="AW36" s="82" t="e">
        <f t="shared" ca="1" si="65"/>
        <v>#REF!</v>
      </c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</row>
    <row r="37" spans="1:65" x14ac:dyDescent="0.2">
      <c r="A37" s="560" t="s">
        <v>192</v>
      </c>
      <c r="B37" s="589" t="s">
        <v>395</v>
      </c>
      <c r="C37" s="584">
        <v>466.29921259842519</v>
      </c>
      <c r="D37" s="16"/>
      <c r="E37" s="17">
        <v>22.63</v>
      </c>
      <c r="F37" s="17">
        <v>0</v>
      </c>
      <c r="G37">
        <v>1213</v>
      </c>
      <c r="H37">
        <v>829.71</v>
      </c>
      <c r="I37">
        <v>44.57</v>
      </c>
      <c r="J37" s="17">
        <v>40</v>
      </c>
      <c r="K37">
        <v>85.78</v>
      </c>
      <c r="L37">
        <v>1176.25</v>
      </c>
      <c r="M37" s="271">
        <v>0</v>
      </c>
      <c r="N37" s="271">
        <v>0</v>
      </c>
      <c r="O37">
        <v>25.06</v>
      </c>
      <c r="P37">
        <v>25.09</v>
      </c>
      <c r="Q37" s="58"/>
      <c r="R37" s="18"/>
      <c r="S37" s="441">
        <f t="shared" si="44"/>
        <v>3437.0000000000005</v>
      </c>
      <c r="T37" s="441" t="e">
        <f t="shared" si="61"/>
        <v>#REF!</v>
      </c>
      <c r="U37" s="441" t="e">
        <f>MAX(U$29:U$30)+IF($B$2="mil",1,0.0254)*DDR2Specs!$E$3</f>
        <v>#REF!</v>
      </c>
      <c r="V37" s="441" t="e">
        <f>MIN(U$29:U$30)+IF($B$2="mil",1,0.0254)*DDR2Specs!$F$3</f>
        <v>#REF!</v>
      </c>
      <c r="W37" s="18"/>
      <c r="X37" s="534" t="e">
        <f t="shared" si="45"/>
        <v>#REF!</v>
      </c>
      <c r="Y37" s="447" t="e">
        <f t="shared" si="46"/>
        <v>#REF!</v>
      </c>
      <c r="Z37" s="18"/>
      <c r="AA37" s="441">
        <f t="shared" si="47"/>
        <v>3437.0300000000007</v>
      </c>
      <c r="AB37" s="441" t="e">
        <f t="shared" si="62"/>
        <v>#REF!</v>
      </c>
      <c r="AC37" s="441" t="e">
        <f>MAX(AC$29:AC$30)+IF($B$2="mil",1,0.0254)*DDR2Specs!$E$3</f>
        <v>#REF!</v>
      </c>
      <c r="AD37" s="441" t="e">
        <f>MIN(AC$29:AC$30)+IF($B$2="mil",1,0.0254)*DDR2Specs!$F$3</f>
        <v>#REF!</v>
      </c>
      <c r="AE37" s="18"/>
      <c r="AF37" s="534" t="e">
        <f t="shared" si="63"/>
        <v>#REF!</v>
      </c>
      <c r="AG37" s="447" t="e">
        <f t="shared" si="64"/>
        <v>#REF!</v>
      </c>
      <c r="AH37" s="18"/>
      <c r="AI37" s="447" t="e">
        <f t="shared" si="48"/>
        <v>#REF!</v>
      </c>
      <c r="AJ37" s="447" t="e">
        <f t="shared" si="49"/>
        <v>#REF!</v>
      </c>
      <c r="AK37" s="447" t="e">
        <f t="shared" si="50"/>
        <v>#REF!</v>
      </c>
      <c r="AL37" s="447" t="e">
        <f t="shared" si="51"/>
        <v>#REF!</v>
      </c>
      <c r="AM37" s="447" t="e">
        <f t="shared" si="52"/>
        <v>#REF!</v>
      </c>
      <c r="AN37" s="447" t="e">
        <f t="shared" si="53"/>
        <v>#REF!</v>
      </c>
      <c r="AO37" s="447" t="e">
        <f t="shared" si="54"/>
        <v>#REF!</v>
      </c>
      <c r="AP37" s="447" t="e">
        <f t="shared" si="55"/>
        <v>#REF!</v>
      </c>
      <c r="AQ37" s="445" t="e">
        <f t="shared" si="56"/>
        <v>#REF!</v>
      </c>
      <c r="AR37" s="447" t="e">
        <f t="shared" ca="1" si="57"/>
        <v>#NAME?</v>
      </c>
      <c r="AS37" s="447" t="e">
        <f t="shared" ca="1" si="58"/>
        <v>#NAME?</v>
      </c>
      <c r="AT37" s="447" t="e">
        <f t="shared" si="59"/>
        <v>#REF!</v>
      </c>
      <c r="AU37" s="447" t="e">
        <f t="shared" si="60"/>
        <v>#REF!</v>
      </c>
      <c r="AV37" s="18"/>
      <c r="AW37" s="82" t="e">
        <f t="shared" ca="1" si="65"/>
        <v>#REF!</v>
      </c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</row>
    <row r="38" spans="1:65" x14ac:dyDescent="0.2">
      <c r="A38" s="560" t="s">
        <v>193</v>
      </c>
      <c r="B38" s="589" t="s">
        <v>402</v>
      </c>
      <c r="C38" s="584">
        <v>475.51181102362204</v>
      </c>
      <c r="D38" s="16"/>
      <c r="E38" s="17">
        <v>22.63</v>
      </c>
      <c r="F38" s="17">
        <v>0</v>
      </c>
      <c r="G38">
        <v>1242</v>
      </c>
      <c r="H38">
        <v>769.98</v>
      </c>
      <c r="I38">
        <v>85.78</v>
      </c>
      <c r="J38" s="17">
        <v>40</v>
      </c>
      <c r="K38">
        <v>44.57</v>
      </c>
      <c r="L38">
        <v>1193.22</v>
      </c>
      <c r="M38" s="271">
        <v>0</v>
      </c>
      <c r="N38" s="271">
        <v>0</v>
      </c>
      <c r="O38">
        <v>29.47</v>
      </c>
      <c r="P38">
        <v>35.630000000000003</v>
      </c>
      <c r="Q38" s="58"/>
      <c r="R38" s="18"/>
      <c r="S38" s="441">
        <f t="shared" si="44"/>
        <v>3427.65</v>
      </c>
      <c r="T38" s="441" t="e">
        <f t="shared" si="61"/>
        <v>#REF!</v>
      </c>
      <c r="U38" s="441" t="e">
        <f>MAX(U$29:U$30)+IF($B$2="mil",1,0.0254)*DDR2Specs!$E$3</f>
        <v>#REF!</v>
      </c>
      <c r="V38" s="441" t="e">
        <f>MIN(U$29:U$30)+IF($B$2="mil",1,0.0254)*DDR2Specs!$F$3</f>
        <v>#REF!</v>
      </c>
      <c r="W38" s="18"/>
      <c r="X38" s="534" t="e">
        <f t="shared" si="45"/>
        <v>#REF!</v>
      </c>
      <c r="Y38" s="447" t="e">
        <f t="shared" si="46"/>
        <v>#REF!</v>
      </c>
      <c r="Z38" s="18"/>
      <c r="AA38" s="441">
        <f t="shared" si="47"/>
        <v>3433.8100000000004</v>
      </c>
      <c r="AB38" s="441" t="e">
        <f t="shared" si="62"/>
        <v>#REF!</v>
      </c>
      <c r="AC38" s="441" t="e">
        <f>MAX(AC$29:AC$30)+IF($B$2="mil",1,0.0254)*DDR2Specs!$E$3</f>
        <v>#REF!</v>
      </c>
      <c r="AD38" s="441" t="e">
        <f>MIN(AC$29:AC$30)+IF($B$2="mil",1,0.0254)*DDR2Specs!$F$3</f>
        <v>#REF!</v>
      </c>
      <c r="AE38" s="18"/>
      <c r="AF38" s="534" t="e">
        <f t="shared" si="63"/>
        <v>#REF!</v>
      </c>
      <c r="AG38" s="447" t="e">
        <f t="shared" si="64"/>
        <v>#REF!</v>
      </c>
      <c r="AH38" s="18"/>
      <c r="AI38" s="447" t="e">
        <f t="shared" si="48"/>
        <v>#REF!</v>
      </c>
      <c r="AJ38" s="447" t="e">
        <f t="shared" si="49"/>
        <v>#REF!</v>
      </c>
      <c r="AK38" s="447" t="e">
        <f t="shared" si="50"/>
        <v>#REF!</v>
      </c>
      <c r="AL38" s="447" t="e">
        <f t="shared" si="51"/>
        <v>#REF!</v>
      </c>
      <c r="AM38" s="447" t="e">
        <f t="shared" si="52"/>
        <v>#REF!</v>
      </c>
      <c r="AN38" s="447" t="e">
        <f t="shared" si="53"/>
        <v>#REF!</v>
      </c>
      <c r="AO38" s="447" t="e">
        <f t="shared" si="54"/>
        <v>#REF!</v>
      </c>
      <c r="AP38" s="447" t="e">
        <f t="shared" si="55"/>
        <v>#REF!</v>
      </c>
      <c r="AQ38" s="445" t="e">
        <f t="shared" si="56"/>
        <v>#REF!</v>
      </c>
      <c r="AR38" s="447" t="e">
        <f t="shared" ca="1" si="57"/>
        <v>#NAME?</v>
      </c>
      <c r="AS38" s="447" t="e">
        <f t="shared" ca="1" si="58"/>
        <v>#NAME?</v>
      </c>
      <c r="AT38" s="447" t="e">
        <f t="shared" si="59"/>
        <v>#REF!</v>
      </c>
      <c r="AU38" s="447" t="e">
        <f t="shared" si="60"/>
        <v>#REF!</v>
      </c>
      <c r="AV38" s="18"/>
      <c r="AW38" s="82" t="e">
        <f t="shared" ca="1" si="65"/>
        <v>#REF!</v>
      </c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</row>
    <row r="39" spans="1:65" x14ac:dyDescent="0.2">
      <c r="A39" s="560" t="s">
        <v>194</v>
      </c>
      <c r="B39" s="590" t="s">
        <v>555</v>
      </c>
      <c r="C39" s="584">
        <v>464.48818897637796</v>
      </c>
      <c r="D39" s="16"/>
      <c r="E39" s="17">
        <v>22.63</v>
      </c>
      <c r="F39" s="17">
        <v>0</v>
      </c>
      <c r="G39">
        <v>1205</v>
      </c>
      <c r="H39">
        <v>840.12</v>
      </c>
      <c r="I39">
        <v>29.57</v>
      </c>
      <c r="J39" s="17">
        <v>40</v>
      </c>
      <c r="K39">
        <v>44.57</v>
      </c>
      <c r="L39">
        <v>1190.24</v>
      </c>
      <c r="M39" s="271">
        <v>0</v>
      </c>
      <c r="N39" s="271">
        <v>0</v>
      </c>
      <c r="O39">
        <v>69.19</v>
      </c>
      <c r="P39">
        <v>70.81</v>
      </c>
      <c r="Q39" s="58"/>
      <c r="R39" s="18"/>
      <c r="S39" s="441">
        <f t="shared" si="44"/>
        <v>3441.32</v>
      </c>
      <c r="T39" s="441" t="e">
        <f t="shared" si="61"/>
        <v>#REF!</v>
      </c>
      <c r="U39" s="441" t="e">
        <f>MAX(U$29:U$30)+IF($B$2="mil",1,0.0254)*DDR2Specs!$E$3</f>
        <v>#REF!</v>
      </c>
      <c r="V39" s="441" t="e">
        <f>MIN(U$29:U$30)+IF($B$2="mil",1,0.0254)*DDR2Specs!$F$3</f>
        <v>#REF!</v>
      </c>
      <c r="W39" s="18"/>
      <c r="X39" s="534" t="e">
        <f t="shared" si="45"/>
        <v>#REF!</v>
      </c>
      <c r="Y39" s="447" t="e">
        <f t="shared" si="46"/>
        <v>#REF!</v>
      </c>
      <c r="Z39" s="18"/>
      <c r="AA39" s="441">
        <f t="shared" si="47"/>
        <v>3442.94</v>
      </c>
      <c r="AB39" s="441" t="e">
        <f t="shared" si="62"/>
        <v>#REF!</v>
      </c>
      <c r="AC39" s="441" t="e">
        <f>MAX(AC$29:AC$30)+IF($B$2="mil",1,0.0254)*DDR2Specs!$E$3</f>
        <v>#REF!</v>
      </c>
      <c r="AD39" s="441" t="e">
        <f>MIN(AC$29:AC$30)+IF($B$2="mil",1,0.0254)*DDR2Specs!$F$3</f>
        <v>#REF!</v>
      </c>
      <c r="AE39" s="18"/>
      <c r="AF39" s="534" t="e">
        <f t="shared" si="63"/>
        <v>#REF!</v>
      </c>
      <c r="AG39" s="447" t="e">
        <f t="shared" si="64"/>
        <v>#REF!</v>
      </c>
      <c r="AH39" s="18"/>
      <c r="AI39" s="447" t="e">
        <f t="shared" si="48"/>
        <v>#REF!</v>
      </c>
      <c r="AJ39" s="447" t="e">
        <f t="shared" si="49"/>
        <v>#REF!</v>
      </c>
      <c r="AK39" s="447" t="e">
        <f t="shared" si="50"/>
        <v>#REF!</v>
      </c>
      <c r="AL39" s="447" t="e">
        <f t="shared" si="51"/>
        <v>#REF!</v>
      </c>
      <c r="AM39" s="447" t="e">
        <f t="shared" si="52"/>
        <v>#REF!</v>
      </c>
      <c r="AN39" s="447" t="e">
        <f t="shared" si="53"/>
        <v>#REF!</v>
      </c>
      <c r="AO39" s="447" t="e">
        <f t="shared" si="54"/>
        <v>#REF!</v>
      </c>
      <c r="AP39" s="447" t="e">
        <f t="shared" si="55"/>
        <v>#REF!</v>
      </c>
      <c r="AQ39" s="445" t="e">
        <f t="shared" si="56"/>
        <v>#REF!</v>
      </c>
      <c r="AR39" s="447" t="e">
        <f t="shared" ca="1" si="57"/>
        <v>#NAME?</v>
      </c>
      <c r="AS39" s="447" t="e">
        <f t="shared" ca="1" si="58"/>
        <v>#NAME?</v>
      </c>
      <c r="AT39" s="447" t="e">
        <f t="shared" si="59"/>
        <v>#REF!</v>
      </c>
      <c r="AU39" s="447" t="e">
        <f t="shared" si="60"/>
        <v>#REF!</v>
      </c>
      <c r="AV39" s="18"/>
      <c r="AW39" s="82" t="e">
        <f t="shared" ca="1" si="65"/>
        <v>#REF!</v>
      </c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</row>
    <row r="40" spans="1:65" x14ac:dyDescent="0.2">
      <c r="A40" s="563" t="s">
        <v>248</v>
      </c>
      <c r="B40" s="591"/>
      <c r="C40" s="585"/>
      <c r="D40" s="51"/>
      <c r="E40" s="68"/>
      <c r="F40" s="68"/>
      <c r="G40" s="394"/>
      <c r="H40" s="265"/>
      <c r="I40" s="265"/>
      <c r="J40" s="265"/>
      <c r="K40" s="265"/>
      <c r="L40" s="265"/>
      <c r="M40" s="265"/>
      <c r="N40" s="265"/>
      <c r="O40" s="265"/>
      <c r="P40" s="265"/>
      <c r="Q40" s="8"/>
      <c r="R40" s="540"/>
      <c r="S40" s="68"/>
      <c r="T40" s="539"/>
      <c r="U40" s="539"/>
      <c r="V40" s="540"/>
      <c r="W40" s="540"/>
      <c r="X40" s="541"/>
      <c r="Y40" s="15"/>
      <c r="Z40" s="540"/>
      <c r="AA40" s="68"/>
      <c r="AB40" s="539"/>
      <c r="AC40" s="539"/>
      <c r="AD40" s="540"/>
      <c r="AE40" s="540"/>
      <c r="AF40" s="541"/>
      <c r="AG40" s="15"/>
      <c r="AH40" s="540"/>
      <c r="AI40" s="15"/>
      <c r="AJ40" s="15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69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</row>
    <row r="41" spans="1:65" x14ac:dyDescent="0.2">
      <c r="A41" s="576" t="str">
        <f>'DDR2 Strobes - 2x16'!$A$22</f>
        <v>SA_DQS3</v>
      </c>
      <c r="B41" s="592" t="str">
        <f>'DDR2 Strobes - 2x16'!$B$22</f>
        <v>AB21</v>
      </c>
      <c r="C41" s="586"/>
      <c r="D41" s="44"/>
      <c r="E41" s="67"/>
      <c r="F41" s="67"/>
      <c r="G41" s="395"/>
      <c r="H41" s="266"/>
      <c r="I41" s="266"/>
      <c r="J41" s="266"/>
      <c r="K41" s="266"/>
      <c r="L41" s="266"/>
      <c r="M41" s="266"/>
      <c r="N41" s="266"/>
      <c r="O41" s="266"/>
      <c r="P41" s="266"/>
      <c r="Q41" s="67"/>
      <c r="R41" s="48"/>
      <c r="S41" s="67"/>
      <c r="T41" s="48"/>
      <c r="U41" s="48" t="e">
        <f>'DDR2 Strobes - 2x16'!$U$22</f>
        <v>#REF!</v>
      </c>
      <c r="V41" s="48"/>
      <c r="W41" s="48"/>
      <c r="X41" s="48"/>
      <c r="Y41" s="542"/>
      <c r="Z41" s="48"/>
      <c r="AA41" s="67"/>
      <c r="AB41" s="48"/>
      <c r="AC41" s="48" t="e">
        <f>'DDR2 Strobes - 2x16'!$AC$22</f>
        <v>#REF!</v>
      </c>
      <c r="AD41" s="48"/>
      <c r="AE41" s="48"/>
      <c r="AF41" s="48"/>
      <c r="AG41" s="542"/>
      <c r="AH41" s="48"/>
      <c r="AI41" s="542"/>
      <c r="AJ41" s="542"/>
      <c r="AK41" s="542"/>
      <c r="AL41" s="542"/>
      <c r="AM41" s="542"/>
      <c r="AN41" s="542"/>
      <c r="AO41" s="542"/>
      <c r="AP41" s="542"/>
      <c r="AQ41" s="542"/>
      <c r="AR41" s="542"/>
      <c r="AS41" s="542"/>
      <c r="AT41" s="542"/>
      <c r="AU41" s="542"/>
      <c r="AV41" s="48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</row>
    <row r="42" spans="1:65" x14ac:dyDescent="0.2">
      <c r="A42" s="576" t="str">
        <f>'DDR2 Strobes - 2x16'!$A$23</f>
        <v>SA_DQS3#</v>
      </c>
      <c r="B42" s="592" t="str">
        <f>'DDR2 Strobes - 2x16'!$B$23</f>
        <v>AB20</v>
      </c>
      <c r="C42" s="586"/>
      <c r="D42" s="44"/>
      <c r="E42" s="67"/>
      <c r="F42" s="67"/>
      <c r="G42" s="395"/>
      <c r="H42" s="266"/>
      <c r="I42" s="266"/>
      <c r="J42" s="266"/>
      <c r="K42" s="266"/>
      <c r="L42" s="266"/>
      <c r="M42" s="266"/>
      <c r="N42" s="266"/>
      <c r="O42" s="266"/>
      <c r="P42" s="266"/>
      <c r="Q42" s="67"/>
      <c r="R42" s="48"/>
      <c r="S42" s="536"/>
      <c r="T42" s="537"/>
      <c r="U42" s="48" t="e">
        <f>'DDR2 Strobes - 2x16'!$U$23</f>
        <v>#REF!</v>
      </c>
      <c r="V42" s="48"/>
      <c r="W42" s="48"/>
      <c r="X42" s="48"/>
      <c r="Y42" s="542"/>
      <c r="Z42" s="48"/>
      <c r="AA42" s="536"/>
      <c r="AB42" s="537"/>
      <c r="AC42" s="48" t="e">
        <f>'DDR2 Strobes - 2x16'!$AC$23</f>
        <v>#REF!</v>
      </c>
      <c r="AD42" s="48"/>
      <c r="AE42" s="48"/>
      <c r="AF42" s="48"/>
      <c r="AG42" s="542"/>
      <c r="AH42" s="48"/>
      <c r="AI42" s="542"/>
      <c r="AJ42" s="542"/>
      <c r="AK42" s="543"/>
      <c r="AL42" s="543"/>
      <c r="AM42" s="543"/>
      <c r="AN42" s="543"/>
      <c r="AO42" s="543"/>
      <c r="AP42" s="543"/>
      <c r="AQ42" s="543"/>
      <c r="AR42" s="543"/>
      <c r="AS42" s="543"/>
      <c r="AT42" s="543"/>
      <c r="AU42" s="543"/>
      <c r="AV42" s="48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</row>
    <row r="43" spans="1:65" x14ac:dyDescent="0.2">
      <c r="A43" s="560" t="s">
        <v>195</v>
      </c>
      <c r="B43" s="595" t="s">
        <v>522</v>
      </c>
      <c r="C43" s="584">
        <v>764.01574803149606</v>
      </c>
      <c r="D43" s="16"/>
      <c r="E43" s="17">
        <v>22.63</v>
      </c>
      <c r="F43" s="17">
        <v>0</v>
      </c>
      <c r="G43">
        <v>1340</v>
      </c>
      <c r="H43">
        <v>700.29</v>
      </c>
      <c r="I43">
        <v>96.14</v>
      </c>
      <c r="J43" s="17">
        <v>40</v>
      </c>
      <c r="K43">
        <v>44.57</v>
      </c>
      <c r="L43">
        <v>960.33</v>
      </c>
      <c r="M43" s="271">
        <v>0</v>
      </c>
      <c r="N43" s="271">
        <v>0</v>
      </c>
      <c r="O43">
        <v>84.35</v>
      </c>
      <c r="P43">
        <v>84.32</v>
      </c>
      <c r="Q43" s="58"/>
      <c r="R43" s="18"/>
      <c r="S43" s="441">
        <f t="shared" ref="S43:S51" si="66">SUM(E43:G43,H43:M43,O43)</f>
        <v>3288.31</v>
      </c>
      <c r="T43" s="441" t="e">
        <f>S43+IF($B$2="mil",1,0.0254)*$C43</f>
        <v>#REF!</v>
      </c>
      <c r="U43" s="441" t="e">
        <f>MAX(U$41:U$42)+IF($B$2="mil",1,0.0254)*DDR2Specs!$E$3</f>
        <v>#REF!</v>
      </c>
      <c r="V43" s="441" t="e">
        <f>MIN(U$41:U$42)+IF($B$2="mil",1,0.0254)*DDR2Specs!$F$3</f>
        <v>#REF!</v>
      </c>
      <c r="W43" s="18"/>
      <c r="X43" s="534" t="e">
        <f t="shared" ref="X43:X51" si="67">IF($T43&lt;$U43,$U43-$T43,"Pass")</f>
        <v>#REF!</v>
      </c>
      <c r="Y43" s="447" t="e">
        <f>IF($T43&gt;$V43,$T43-$V43,"Pass")</f>
        <v>#REF!</v>
      </c>
      <c r="Z43" s="18"/>
      <c r="AA43" s="441">
        <f t="shared" ref="AA43:AA51" si="68">SUM(E43:G43,H43:L43,N43,P43)</f>
        <v>3288.28</v>
      </c>
      <c r="AB43" s="441" t="e">
        <f>AA43+IF($B$2="mil",1,0.0254)*$C43</f>
        <v>#REF!</v>
      </c>
      <c r="AC43" s="441" t="e">
        <f>MAX(AC$41:AC$42)+IF($B$2="mil",1,0.0254)*DDR2Specs!$E$3</f>
        <v>#REF!</v>
      </c>
      <c r="AD43" s="441" t="e">
        <f>MIN(AC$41:AC$42)+IF($B$2="mil",1,0.0254)*DDR2Specs!$F$3</f>
        <v>#REF!</v>
      </c>
      <c r="AE43" s="18"/>
      <c r="AF43" s="534" t="e">
        <f>IF($AB43&lt;$AC43,$AC43-$AB43,"Pass")</f>
        <v>#REF!</v>
      </c>
      <c r="AG43" s="447" t="e">
        <f>IF($AB43&gt;$AD43,$AB43-$AD43,"Pass")</f>
        <v>#REF!</v>
      </c>
      <c r="AH43" s="18"/>
      <c r="AI43" s="447" t="e">
        <f t="shared" ref="AI43:AI51" si="69">IF($E43&lt;=IF($B$2="mil",1,0.0254)*50,"Pass",IF($B$2="mil",1,0.0254)*50-$E43)</f>
        <v>#REF!</v>
      </c>
      <c r="AJ43" s="447" t="e">
        <f t="shared" ref="AJ43:AJ51" si="70">IF($F43&lt;=IF($B$2="mil",1,0.0254)*500,"Pass",IF($B$2="mil",1,0.0254)*500-$F43)</f>
        <v>#REF!</v>
      </c>
      <c r="AK43" s="447" t="e">
        <f t="shared" ref="AK43:AK51" si="71">IF(($G43+$H43)&lt;=IF($B$2="mil",1,0.0254)*2750,"Pass",IF($B$2="mil",1,0.0254)*2750-($G43+D43))</f>
        <v>#REF!</v>
      </c>
      <c r="AL43" s="447" t="e">
        <f t="shared" ref="AL43:AL51" si="72">IF($I43&lt;=IF($B$2="mil",1,0.0254)*125,"Pass",IF($B$2="mil",1,0.0254)*125-$I43)</f>
        <v>#REF!</v>
      </c>
      <c r="AM43" s="447" t="e">
        <f t="shared" ref="AM43:AM51" si="73">IF($K43&lt;=IF($B$2="mil",1,0.0254)*125,"Pass",IF($B$2="mil",1,0.0254)*125-$K43)</f>
        <v>#REF!</v>
      </c>
      <c r="AN43" s="447" t="e">
        <f t="shared" ref="AN43:AN51" si="74">IF(($K43+$L43)&lt;=IF($B$2="mil",1,0.0254)*1350,"Pass",IF($B$2="mil",1,0.0254)*1350-($K43+L43))</f>
        <v>#REF!</v>
      </c>
      <c r="AO43" s="447" t="e">
        <f t="shared" ref="AO43:AO51" si="75">IF($M43&lt;=IF($B$2="mil",1,0.0254)*650,"Pass",IF($B$2="mil",1,0.0254)*650-$M43)</f>
        <v>#REF!</v>
      </c>
      <c r="AP43" s="447" t="e">
        <f t="shared" ref="AP43:AP51" si="76">IF($N43&lt;=IF($B$2="mil",1,0.0254)*650,"Pass",IF($B$2="mil",1,0.0254)*650-$N43)</f>
        <v>#REF!</v>
      </c>
      <c r="AQ43" s="445" t="e">
        <f t="shared" ref="AQ43:AQ51" si="77">IF(MAX(M43:N43)-MIN(M43:N43)&lt;=IF($B$2="mil",1,0.0254)*50,"Pass",MAX(M43:N43)-MIN(M43:N43)-IF($B$2="mil",1,0.0254)*50)</f>
        <v>#REF!</v>
      </c>
      <c r="AR43" s="447" t="e">
        <f t="shared" ref="AR43:AR51" ca="1" si="78">CheckLength2(IF($B$2="mil",1,0.0254)*800,$O43,M43,0)</f>
        <v>#NAME?</v>
      </c>
      <c r="AS43" s="447" t="e">
        <f t="shared" ref="AS43:AS51" ca="1" si="79">CheckLength2(IF($B$2="mil",1,0.0254)*800,$P43,N43,0)</f>
        <v>#NAME?</v>
      </c>
      <c r="AT43" s="447" t="e">
        <f t="shared" ref="AT43:AT51" si="80">IF(AND($S43&gt;=IF($B$2="mil",1,0.0254)*500, $S43&lt;=IF($B$2="mil",1,0.0254)*5500),"Pass",IF($B$2="mil",1,0.0254)*5500-$S43)</f>
        <v>#REF!</v>
      </c>
      <c r="AU43" s="447" t="e">
        <f t="shared" ref="AU43:AU51" si="81">IF(AND($T43&gt;=IF($B$2="mil",1,0.0254)*500, $T43&lt;=IF($B$2="mil",1,0.0254)*6000),"Pass",IF($B$2="mil",1,0.0254)*6000-$T43)</f>
        <v>#REF!</v>
      </c>
      <c r="AV43" s="18"/>
      <c r="AW43" s="82" t="e">
        <f ca="1">IF(AND(AF43="Pass",AG43="Pass",AI43="Pass",AJ43="Pass",AS43="Pass",AN43="Pass",AO43="Pass",AP43="Pass",AQ43="Pass",AR43="Pass",AM43="Pass",AL43="Pass",AK43="Pass",X43="Pass",Y43="Pass",AT43="Pass",AU43="Pass"),"Pass","Fail")</f>
        <v>#REF!</v>
      </c>
      <c r="AX43" s="2" t="e">
        <f ca="1">IF(AND(AW43="Pass",AW44="Pass",AW45="Pass",AW46="Pass",AW47="Pass",AW48="Pass",AW49="Pass",AW50="Pass",AW51="Pass"),"Pass","Fail")</f>
        <v>#REF!</v>
      </c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</row>
    <row r="44" spans="1:65" x14ac:dyDescent="0.2">
      <c r="A44" s="560" t="s">
        <v>196</v>
      </c>
      <c r="B44" s="589" t="s">
        <v>523</v>
      </c>
      <c r="C44" s="584">
        <v>725.94488188976379</v>
      </c>
      <c r="D44" s="16"/>
      <c r="E44" s="17">
        <v>22.63</v>
      </c>
      <c r="F44" s="17">
        <v>0</v>
      </c>
      <c r="G44">
        <v>1370</v>
      </c>
      <c r="H44">
        <v>765.62</v>
      </c>
      <c r="I44">
        <v>44.57</v>
      </c>
      <c r="J44" s="17">
        <v>40</v>
      </c>
      <c r="K44">
        <v>44.57</v>
      </c>
      <c r="L44">
        <v>1004.63</v>
      </c>
      <c r="M44" s="271">
        <v>0</v>
      </c>
      <c r="N44" s="271">
        <v>0</v>
      </c>
      <c r="O44">
        <v>22.27</v>
      </c>
      <c r="P44">
        <v>22.3</v>
      </c>
      <c r="Q44" s="58"/>
      <c r="R44" s="18"/>
      <c r="S44" s="441">
        <f t="shared" si="66"/>
        <v>3314.2900000000004</v>
      </c>
      <c r="T44" s="441" t="e">
        <f t="shared" ref="T44:T51" si="82">S44+IF($B$2="mil",1,0.0254)*$C44</f>
        <v>#REF!</v>
      </c>
      <c r="U44" s="441" t="e">
        <f>MAX(U$41:U$42)+IF($B$2="mil",1,0.0254)*DDR2Specs!$E$3</f>
        <v>#REF!</v>
      </c>
      <c r="V44" s="441" t="e">
        <f>MIN(U$41:U$42)+IF($B$2="mil",1,0.0254)*DDR2Specs!$F$3</f>
        <v>#REF!</v>
      </c>
      <c r="W44" s="18"/>
      <c r="X44" s="534" t="e">
        <f t="shared" si="67"/>
        <v>#REF!</v>
      </c>
      <c r="Y44" s="447" t="e">
        <f t="shared" ref="Y44:Y51" si="83">IF($T44&gt;$V44,$T44-$V44,"Pass")</f>
        <v>#REF!</v>
      </c>
      <c r="Z44" s="18"/>
      <c r="AA44" s="441">
        <f t="shared" si="68"/>
        <v>3314.3200000000006</v>
      </c>
      <c r="AB44" s="441" t="e">
        <f t="shared" ref="AB44:AB51" si="84">AA44+IF($B$2="mil",1,0.0254)*$C44</f>
        <v>#REF!</v>
      </c>
      <c r="AC44" s="441" t="e">
        <f>MAX(AC$41:AC$42)+IF($B$2="mil",1,0.0254)*DDR2Specs!$E$3</f>
        <v>#REF!</v>
      </c>
      <c r="AD44" s="441" t="e">
        <f>MIN(AC$41:AC$42)+IF($B$2="mil",1,0.0254)*DDR2Specs!$F$3</f>
        <v>#REF!</v>
      </c>
      <c r="AE44" s="18"/>
      <c r="AF44" s="534" t="e">
        <f t="shared" ref="AF44:AF51" si="85">IF($AB44&lt;$AC44,$AC44-$AB44,"Pass")</f>
        <v>#REF!</v>
      </c>
      <c r="AG44" s="447" t="e">
        <f t="shared" ref="AG44:AG51" si="86">IF($AB44&gt;$AD44,$AB44-$AD44,"Pass")</f>
        <v>#REF!</v>
      </c>
      <c r="AH44" s="18"/>
      <c r="AI44" s="447" t="e">
        <f t="shared" si="69"/>
        <v>#REF!</v>
      </c>
      <c r="AJ44" s="447" t="e">
        <f t="shared" si="70"/>
        <v>#REF!</v>
      </c>
      <c r="AK44" s="447" t="e">
        <f t="shared" si="71"/>
        <v>#REF!</v>
      </c>
      <c r="AL44" s="447" t="e">
        <f t="shared" si="72"/>
        <v>#REF!</v>
      </c>
      <c r="AM44" s="447" t="e">
        <f t="shared" si="73"/>
        <v>#REF!</v>
      </c>
      <c r="AN44" s="447" t="e">
        <f t="shared" si="74"/>
        <v>#REF!</v>
      </c>
      <c r="AO44" s="447" t="e">
        <f t="shared" si="75"/>
        <v>#REF!</v>
      </c>
      <c r="AP44" s="447" t="e">
        <f t="shared" si="76"/>
        <v>#REF!</v>
      </c>
      <c r="AQ44" s="445" t="e">
        <f t="shared" si="77"/>
        <v>#REF!</v>
      </c>
      <c r="AR44" s="447" t="e">
        <f t="shared" ca="1" si="78"/>
        <v>#NAME?</v>
      </c>
      <c r="AS44" s="447" t="e">
        <f t="shared" ca="1" si="79"/>
        <v>#NAME?</v>
      </c>
      <c r="AT44" s="447" t="e">
        <f t="shared" si="80"/>
        <v>#REF!</v>
      </c>
      <c r="AU44" s="447" t="e">
        <f t="shared" si="81"/>
        <v>#REF!</v>
      </c>
      <c r="AV44" s="18"/>
      <c r="AW44" s="82" t="e">
        <f t="shared" ref="AW44:AW51" ca="1" si="87">IF(AND(AF44="Pass",AG44="Pass",AI44="Pass",AJ44="Pass",AS44="Pass",AN44="Pass",AO44="Pass",AP44="Pass",AQ44="Pass",AR44="Pass",AM44="Pass",AL44="Pass",AK44="Pass",X44="Pass",Y44="Pass",AT44="Pass",AU44="Pass"),"Pass","Fail")</f>
        <v>#REF!</v>
      </c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</row>
    <row r="45" spans="1:65" x14ac:dyDescent="0.2">
      <c r="A45" s="560" t="s">
        <v>197</v>
      </c>
      <c r="B45" s="589" t="s">
        <v>396</v>
      </c>
      <c r="C45" s="584">
        <v>793.66141732283461</v>
      </c>
      <c r="D45" s="16"/>
      <c r="E45" s="17">
        <v>22.63</v>
      </c>
      <c r="F45" s="17">
        <v>0</v>
      </c>
      <c r="G45">
        <v>1312</v>
      </c>
      <c r="H45">
        <v>763.62</v>
      </c>
      <c r="I45">
        <v>44.57</v>
      </c>
      <c r="J45" s="17">
        <v>40</v>
      </c>
      <c r="K45">
        <v>85.78</v>
      </c>
      <c r="L45">
        <v>958.18</v>
      </c>
      <c r="M45" s="271">
        <v>0</v>
      </c>
      <c r="N45" s="271">
        <v>0</v>
      </c>
      <c r="O45">
        <v>32.28</v>
      </c>
      <c r="P45">
        <v>32.31</v>
      </c>
      <c r="Q45" s="58"/>
      <c r="R45" s="18"/>
      <c r="S45" s="441">
        <f t="shared" si="66"/>
        <v>3259.0600000000004</v>
      </c>
      <c r="T45" s="441" t="e">
        <f t="shared" si="82"/>
        <v>#REF!</v>
      </c>
      <c r="U45" s="441" t="e">
        <f>MAX(U$41:U$42)+IF($B$2="mil",1,0.0254)*DDR2Specs!$E$3</f>
        <v>#REF!</v>
      </c>
      <c r="V45" s="441" t="e">
        <f>MIN(U$41:U$42)+IF($B$2="mil",1,0.0254)*DDR2Specs!$F$3</f>
        <v>#REF!</v>
      </c>
      <c r="W45" s="18"/>
      <c r="X45" s="534" t="e">
        <f t="shared" si="67"/>
        <v>#REF!</v>
      </c>
      <c r="Y45" s="447" t="e">
        <f t="shared" si="83"/>
        <v>#REF!</v>
      </c>
      <c r="Z45" s="18"/>
      <c r="AA45" s="441">
        <f t="shared" si="68"/>
        <v>3259.09</v>
      </c>
      <c r="AB45" s="441" t="e">
        <f t="shared" si="84"/>
        <v>#REF!</v>
      </c>
      <c r="AC45" s="441" t="e">
        <f>MAX(AC$41:AC$42)+IF($B$2="mil",1,0.0254)*DDR2Specs!$E$3</f>
        <v>#REF!</v>
      </c>
      <c r="AD45" s="441" t="e">
        <f>MIN(AC$41:AC$42)+IF($B$2="mil",1,0.0254)*DDR2Specs!$F$3</f>
        <v>#REF!</v>
      </c>
      <c r="AE45" s="18"/>
      <c r="AF45" s="534" t="e">
        <f t="shared" si="85"/>
        <v>#REF!</v>
      </c>
      <c r="AG45" s="447" t="e">
        <f t="shared" si="86"/>
        <v>#REF!</v>
      </c>
      <c r="AH45" s="18"/>
      <c r="AI45" s="447" t="e">
        <f t="shared" si="69"/>
        <v>#REF!</v>
      </c>
      <c r="AJ45" s="447" t="e">
        <f t="shared" si="70"/>
        <v>#REF!</v>
      </c>
      <c r="AK45" s="447" t="e">
        <f t="shared" si="71"/>
        <v>#REF!</v>
      </c>
      <c r="AL45" s="447" t="e">
        <f t="shared" si="72"/>
        <v>#REF!</v>
      </c>
      <c r="AM45" s="447" t="e">
        <f t="shared" si="73"/>
        <v>#REF!</v>
      </c>
      <c r="AN45" s="447" t="e">
        <f t="shared" si="74"/>
        <v>#REF!</v>
      </c>
      <c r="AO45" s="447" t="e">
        <f t="shared" si="75"/>
        <v>#REF!</v>
      </c>
      <c r="AP45" s="447" t="e">
        <f t="shared" si="76"/>
        <v>#REF!</v>
      </c>
      <c r="AQ45" s="445" t="e">
        <f t="shared" si="77"/>
        <v>#REF!</v>
      </c>
      <c r="AR45" s="447" t="e">
        <f t="shared" ca="1" si="78"/>
        <v>#NAME?</v>
      </c>
      <c r="AS45" s="447" t="e">
        <f t="shared" ca="1" si="79"/>
        <v>#NAME?</v>
      </c>
      <c r="AT45" s="447" t="e">
        <f t="shared" si="80"/>
        <v>#REF!</v>
      </c>
      <c r="AU45" s="447" t="e">
        <f t="shared" si="81"/>
        <v>#REF!</v>
      </c>
      <c r="AV45" s="18"/>
      <c r="AW45" s="82" t="e">
        <f t="shared" ca="1" si="87"/>
        <v>#REF!</v>
      </c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</row>
    <row r="46" spans="1:65" x14ac:dyDescent="0.2">
      <c r="A46" s="560" t="s">
        <v>198</v>
      </c>
      <c r="B46" s="589" t="s">
        <v>401</v>
      </c>
      <c r="C46" s="584">
        <v>909.6062992125984</v>
      </c>
      <c r="D46" s="16"/>
      <c r="E46" s="17">
        <v>22.63</v>
      </c>
      <c r="F46" s="17">
        <v>0</v>
      </c>
      <c r="G46">
        <v>1175</v>
      </c>
      <c r="H46">
        <v>718.59</v>
      </c>
      <c r="I46">
        <v>85.78</v>
      </c>
      <c r="J46" s="17">
        <v>40</v>
      </c>
      <c r="K46">
        <v>44.57</v>
      </c>
      <c r="L46">
        <v>1010.54</v>
      </c>
      <c r="M46" s="271">
        <v>0</v>
      </c>
      <c r="N46" s="271">
        <v>0</v>
      </c>
      <c r="O46">
        <v>31.4</v>
      </c>
      <c r="P46">
        <v>31.37</v>
      </c>
      <c r="Q46" s="58"/>
      <c r="R46" s="18"/>
      <c r="S46" s="441">
        <f t="shared" si="66"/>
        <v>3128.51</v>
      </c>
      <c r="T46" s="441" t="e">
        <f t="shared" si="82"/>
        <v>#REF!</v>
      </c>
      <c r="U46" s="441" t="e">
        <f>MAX(U$41:U$42)+IF($B$2="mil",1,0.0254)*DDR2Specs!$E$3</f>
        <v>#REF!</v>
      </c>
      <c r="V46" s="441" t="e">
        <f>MIN(U$41:U$42)+IF($B$2="mil",1,0.0254)*DDR2Specs!$F$3</f>
        <v>#REF!</v>
      </c>
      <c r="W46" s="18"/>
      <c r="X46" s="534" t="e">
        <f t="shared" si="67"/>
        <v>#REF!</v>
      </c>
      <c r="Y46" s="447" t="e">
        <f t="shared" si="83"/>
        <v>#REF!</v>
      </c>
      <c r="Z46" s="18"/>
      <c r="AA46" s="441">
        <f t="shared" si="68"/>
        <v>3128.48</v>
      </c>
      <c r="AB46" s="441" t="e">
        <f t="shared" si="84"/>
        <v>#REF!</v>
      </c>
      <c r="AC46" s="441" t="e">
        <f>MAX(AC$41:AC$42)+IF($B$2="mil",1,0.0254)*DDR2Specs!$E$3</f>
        <v>#REF!</v>
      </c>
      <c r="AD46" s="441" t="e">
        <f>MIN(AC$41:AC$42)+IF($B$2="mil",1,0.0254)*DDR2Specs!$F$3</f>
        <v>#REF!</v>
      </c>
      <c r="AE46" s="18"/>
      <c r="AF46" s="534" t="e">
        <f t="shared" si="85"/>
        <v>#REF!</v>
      </c>
      <c r="AG46" s="447" t="e">
        <f t="shared" si="86"/>
        <v>#REF!</v>
      </c>
      <c r="AH46" s="18"/>
      <c r="AI46" s="447" t="e">
        <f t="shared" si="69"/>
        <v>#REF!</v>
      </c>
      <c r="AJ46" s="447" t="e">
        <f t="shared" si="70"/>
        <v>#REF!</v>
      </c>
      <c r="AK46" s="447" t="e">
        <f t="shared" si="71"/>
        <v>#REF!</v>
      </c>
      <c r="AL46" s="447" t="e">
        <f t="shared" si="72"/>
        <v>#REF!</v>
      </c>
      <c r="AM46" s="447" t="e">
        <f t="shared" si="73"/>
        <v>#REF!</v>
      </c>
      <c r="AN46" s="447" t="e">
        <f t="shared" si="74"/>
        <v>#REF!</v>
      </c>
      <c r="AO46" s="447" t="e">
        <f t="shared" si="75"/>
        <v>#REF!</v>
      </c>
      <c r="AP46" s="447" t="e">
        <f t="shared" si="76"/>
        <v>#REF!</v>
      </c>
      <c r="AQ46" s="445" t="e">
        <f t="shared" si="77"/>
        <v>#REF!</v>
      </c>
      <c r="AR46" s="447" t="e">
        <f t="shared" ca="1" si="78"/>
        <v>#NAME?</v>
      </c>
      <c r="AS46" s="447" t="e">
        <f t="shared" ca="1" si="79"/>
        <v>#NAME?</v>
      </c>
      <c r="AT46" s="447" t="e">
        <f t="shared" si="80"/>
        <v>#REF!</v>
      </c>
      <c r="AU46" s="447" t="e">
        <f t="shared" si="81"/>
        <v>#REF!</v>
      </c>
      <c r="AV46" s="18"/>
      <c r="AW46" s="82" t="e">
        <f t="shared" ca="1" si="87"/>
        <v>#REF!</v>
      </c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</row>
    <row r="47" spans="1:65" x14ac:dyDescent="0.2">
      <c r="A47" s="560" t="s">
        <v>199</v>
      </c>
      <c r="B47" s="589" t="s">
        <v>398</v>
      </c>
      <c r="C47" s="584">
        <v>749.6062992125984</v>
      </c>
      <c r="D47" s="16"/>
      <c r="E47" s="17">
        <v>22.63</v>
      </c>
      <c r="F47" s="17">
        <v>0</v>
      </c>
      <c r="G47">
        <v>1310</v>
      </c>
      <c r="H47">
        <v>735</v>
      </c>
      <c r="I47">
        <v>44.57</v>
      </c>
      <c r="J47" s="17">
        <v>40</v>
      </c>
      <c r="K47">
        <v>85.78</v>
      </c>
      <c r="L47">
        <v>1040.77</v>
      </c>
      <c r="M47" s="271">
        <v>0</v>
      </c>
      <c r="N47" s="271">
        <v>0</v>
      </c>
      <c r="O47">
        <v>22.27</v>
      </c>
      <c r="P47">
        <v>24.29</v>
      </c>
      <c r="Q47" s="58"/>
      <c r="R47" s="18"/>
      <c r="S47" s="441">
        <f t="shared" si="66"/>
        <v>3301.0200000000004</v>
      </c>
      <c r="T47" s="441" t="e">
        <f t="shared" si="82"/>
        <v>#REF!</v>
      </c>
      <c r="U47" s="441" t="e">
        <f>MAX(U$41:U$42)+IF($B$2="mil",1,0.0254)*DDR2Specs!$E$3</f>
        <v>#REF!</v>
      </c>
      <c r="V47" s="441" t="e">
        <f>MIN(U$41:U$42)+IF($B$2="mil",1,0.0254)*DDR2Specs!$F$3</f>
        <v>#REF!</v>
      </c>
      <c r="W47" s="18"/>
      <c r="X47" s="534" t="e">
        <f t="shared" si="67"/>
        <v>#REF!</v>
      </c>
      <c r="Y47" s="447" t="e">
        <f t="shared" si="83"/>
        <v>#REF!</v>
      </c>
      <c r="Z47" s="18"/>
      <c r="AA47" s="441">
        <f t="shared" si="68"/>
        <v>3303.0400000000004</v>
      </c>
      <c r="AB47" s="441" t="e">
        <f t="shared" si="84"/>
        <v>#REF!</v>
      </c>
      <c r="AC47" s="441" t="e">
        <f>MAX(AC$41:AC$42)+IF($B$2="mil",1,0.0254)*DDR2Specs!$E$3</f>
        <v>#REF!</v>
      </c>
      <c r="AD47" s="441" t="e">
        <f>MIN(AC$41:AC$42)+IF($B$2="mil",1,0.0254)*DDR2Specs!$F$3</f>
        <v>#REF!</v>
      </c>
      <c r="AE47" s="18"/>
      <c r="AF47" s="534" t="e">
        <f t="shared" si="85"/>
        <v>#REF!</v>
      </c>
      <c r="AG47" s="447" t="e">
        <f t="shared" si="86"/>
        <v>#REF!</v>
      </c>
      <c r="AH47" s="18"/>
      <c r="AI47" s="447" t="e">
        <f t="shared" si="69"/>
        <v>#REF!</v>
      </c>
      <c r="AJ47" s="447" t="e">
        <f t="shared" si="70"/>
        <v>#REF!</v>
      </c>
      <c r="AK47" s="447" t="e">
        <f t="shared" si="71"/>
        <v>#REF!</v>
      </c>
      <c r="AL47" s="447" t="e">
        <f t="shared" si="72"/>
        <v>#REF!</v>
      </c>
      <c r="AM47" s="447" t="e">
        <f t="shared" si="73"/>
        <v>#REF!</v>
      </c>
      <c r="AN47" s="447" t="e">
        <f t="shared" si="74"/>
        <v>#REF!</v>
      </c>
      <c r="AO47" s="447" t="e">
        <f t="shared" si="75"/>
        <v>#REF!</v>
      </c>
      <c r="AP47" s="447" t="e">
        <f t="shared" si="76"/>
        <v>#REF!</v>
      </c>
      <c r="AQ47" s="445" t="e">
        <f t="shared" si="77"/>
        <v>#REF!</v>
      </c>
      <c r="AR47" s="447" t="e">
        <f t="shared" ca="1" si="78"/>
        <v>#NAME?</v>
      </c>
      <c r="AS47" s="447" t="e">
        <f t="shared" ca="1" si="79"/>
        <v>#NAME?</v>
      </c>
      <c r="AT47" s="447" t="e">
        <f t="shared" si="80"/>
        <v>#REF!</v>
      </c>
      <c r="AU47" s="447" t="e">
        <f t="shared" si="81"/>
        <v>#REF!</v>
      </c>
      <c r="AV47" s="18"/>
      <c r="AW47" s="82" t="e">
        <f t="shared" ca="1" si="87"/>
        <v>#REF!</v>
      </c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</row>
    <row r="48" spans="1:65" x14ac:dyDescent="0.2">
      <c r="A48" s="560" t="s">
        <v>200</v>
      </c>
      <c r="B48" s="595" t="s">
        <v>524</v>
      </c>
      <c r="C48" s="584">
        <v>808.70078740157487</v>
      </c>
      <c r="D48" s="16"/>
      <c r="E48" s="17">
        <v>22.63</v>
      </c>
      <c r="F48" s="17">
        <v>0</v>
      </c>
      <c r="G48">
        <v>1255</v>
      </c>
      <c r="H48">
        <v>753.05</v>
      </c>
      <c r="I48">
        <v>85.78</v>
      </c>
      <c r="J48" s="17">
        <v>40</v>
      </c>
      <c r="K48">
        <v>44.57</v>
      </c>
      <c r="L48">
        <v>998.44</v>
      </c>
      <c r="M48" s="271">
        <v>0</v>
      </c>
      <c r="N48" s="271">
        <v>0</v>
      </c>
      <c r="O48">
        <v>44.7</v>
      </c>
      <c r="P48">
        <v>44.67</v>
      </c>
      <c r="Q48" s="58"/>
      <c r="R48" s="18"/>
      <c r="S48" s="441">
        <f t="shared" si="66"/>
        <v>3244.17</v>
      </c>
      <c r="T48" s="441" t="e">
        <f t="shared" si="82"/>
        <v>#REF!</v>
      </c>
      <c r="U48" s="441" t="e">
        <f>MAX(U$41:U$42)+IF($B$2="mil",1,0.0254)*DDR2Specs!$E$3</f>
        <v>#REF!</v>
      </c>
      <c r="V48" s="441" t="e">
        <f>MIN(U$41:U$42)+IF($B$2="mil",1,0.0254)*DDR2Specs!$F$3</f>
        <v>#REF!</v>
      </c>
      <c r="W48" s="18"/>
      <c r="X48" s="534" t="e">
        <f t="shared" si="67"/>
        <v>#REF!</v>
      </c>
      <c r="Y48" s="447" t="e">
        <f t="shared" si="83"/>
        <v>#REF!</v>
      </c>
      <c r="Z48" s="18"/>
      <c r="AA48" s="441">
        <f t="shared" si="68"/>
        <v>3244.1400000000003</v>
      </c>
      <c r="AB48" s="441" t="e">
        <f t="shared" si="84"/>
        <v>#REF!</v>
      </c>
      <c r="AC48" s="441" t="e">
        <f>MAX(AC$41:AC$42)+IF($B$2="mil",1,0.0254)*DDR2Specs!$E$3</f>
        <v>#REF!</v>
      </c>
      <c r="AD48" s="441" t="e">
        <f>MIN(AC$41:AC$42)+IF($B$2="mil",1,0.0254)*DDR2Specs!$F$3</f>
        <v>#REF!</v>
      </c>
      <c r="AE48" s="18"/>
      <c r="AF48" s="534" t="e">
        <f t="shared" si="85"/>
        <v>#REF!</v>
      </c>
      <c r="AG48" s="447" t="e">
        <f t="shared" si="86"/>
        <v>#REF!</v>
      </c>
      <c r="AH48" s="18"/>
      <c r="AI48" s="447" t="e">
        <f t="shared" si="69"/>
        <v>#REF!</v>
      </c>
      <c r="AJ48" s="447" t="e">
        <f t="shared" si="70"/>
        <v>#REF!</v>
      </c>
      <c r="AK48" s="447" t="e">
        <f t="shared" si="71"/>
        <v>#REF!</v>
      </c>
      <c r="AL48" s="447" t="e">
        <f t="shared" si="72"/>
        <v>#REF!</v>
      </c>
      <c r="AM48" s="447" t="e">
        <f t="shared" si="73"/>
        <v>#REF!</v>
      </c>
      <c r="AN48" s="447" t="e">
        <f t="shared" si="74"/>
        <v>#REF!</v>
      </c>
      <c r="AO48" s="447" t="e">
        <f t="shared" si="75"/>
        <v>#REF!</v>
      </c>
      <c r="AP48" s="447" t="e">
        <f t="shared" si="76"/>
        <v>#REF!</v>
      </c>
      <c r="AQ48" s="445" t="e">
        <f t="shared" si="77"/>
        <v>#REF!</v>
      </c>
      <c r="AR48" s="447" t="e">
        <f t="shared" ca="1" si="78"/>
        <v>#NAME?</v>
      </c>
      <c r="AS48" s="447" t="e">
        <f t="shared" ca="1" si="79"/>
        <v>#NAME?</v>
      </c>
      <c r="AT48" s="447" t="e">
        <f t="shared" si="80"/>
        <v>#REF!</v>
      </c>
      <c r="AU48" s="447" t="e">
        <f t="shared" si="81"/>
        <v>#REF!</v>
      </c>
      <c r="AV48" s="18"/>
      <c r="AW48" s="82" t="e">
        <f t="shared" ca="1" si="87"/>
        <v>#REF!</v>
      </c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</row>
    <row r="49" spans="1:65" x14ac:dyDescent="0.2">
      <c r="A49" s="560" t="s">
        <v>201</v>
      </c>
      <c r="B49" s="589" t="s">
        <v>525</v>
      </c>
      <c r="C49" s="584">
        <v>901.61417322834643</v>
      </c>
      <c r="D49" s="16"/>
      <c r="E49" s="17">
        <v>22.63</v>
      </c>
      <c r="F49" s="17">
        <v>0</v>
      </c>
      <c r="G49">
        <v>1150</v>
      </c>
      <c r="H49">
        <v>790.79</v>
      </c>
      <c r="I49">
        <v>44.57</v>
      </c>
      <c r="J49" s="17">
        <v>40</v>
      </c>
      <c r="K49">
        <v>85.78</v>
      </c>
      <c r="L49">
        <v>897.89</v>
      </c>
      <c r="M49" s="271">
        <v>0</v>
      </c>
      <c r="N49" s="271">
        <v>0</v>
      </c>
      <c r="O49">
        <v>103.32</v>
      </c>
      <c r="P49">
        <v>103.36</v>
      </c>
      <c r="Q49" s="58"/>
      <c r="R49" s="18"/>
      <c r="S49" s="441">
        <f t="shared" si="66"/>
        <v>3134.98</v>
      </c>
      <c r="T49" s="441" t="e">
        <f t="shared" si="82"/>
        <v>#REF!</v>
      </c>
      <c r="U49" s="441" t="e">
        <f>MAX(U$41:U$42)+IF($B$2="mil",1,0.0254)*DDR2Specs!$E$3</f>
        <v>#REF!</v>
      </c>
      <c r="V49" s="441" t="e">
        <f>MIN(U$41:U$42)+IF($B$2="mil",1,0.0254)*DDR2Specs!$F$3</f>
        <v>#REF!</v>
      </c>
      <c r="W49" s="18"/>
      <c r="X49" s="534" t="e">
        <f t="shared" si="67"/>
        <v>#REF!</v>
      </c>
      <c r="Y49" s="447" t="e">
        <f t="shared" si="83"/>
        <v>#REF!</v>
      </c>
      <c r="Z49" s="18"/>
      <c r="AA49" s="441">
        <f t="shared" si="68"/>
        <v>3135.02</v>
      </c>
      <c r="AB49" s="441" t="e">
        <f t="shared" si="84"/>
        <v>#REF!</v>
      </c>
      <c r="AC49" s="441" t="e">
        <f>MAX(AC$41:AC$42)+IF($B$2="mil",1,0.0254)*DDR2Specs!$E$3</f>
        <v>#REF!</v>
      </c>
      <c r="AD49" s="441" t="e">
        <f>MIN(AC$41:AC$42)+IF($B$2="mil",1,0.0254)*DDR2Specs!$F$3</f>
        <v>#REF!</v>
      </c>
      <c r="AE49" s="18"/>
      <c r="AF49" s="534" t="e">
        <f t="shared" si="85"/>
        <v>#REF!</v>
      </c>
      <c r="AG49" s="447" t="e">
        <f t="shared" si="86"/>
        <v>#REF!</v>
      </c>
      <c r="AH49" s="18"/>
      <c r="AI49" s="447" t="e">
        <f t="shared" si="69"/>
        <v>#REF!</v>
      </c>
      <c r="AJ49" s="447" t="e">
        <f t="shared" si="70"/>
        <v>#REF!</v>
      </c>
      <c r="AK49" s="447" t="e">
        <f t="shared" si="71"/>
        <v>#REF!</v>
      </c>
      <c r="AL49" s="447" t="e">
        <f t="shared" si="72"/>
        <v>#REF!</v>
      </c>
      <c r="AM49" s="447" t="e">
        <f t="shared" si="73"/>
        <v>#REF!</v>
      </c>
      <c r="AN49" s="447" t="e">
        <f t="shared" si="74"/>
        <v>#REF!</v>
      </c>
      <c r="AO49" s="447" t="e">
        <f t="shared" si="75"/>
        <v>#REF!</v>
      </c>
      <c r="AP49" s="447" t="e">
        <f t="shared" si="76"/>
        <v>#REF!</v>
      </c>
      <c r="AQ49" s="445" t="e">
        <f t="shared" si="77"/>
        <v>#REF!</v>
      </c>
      <c r="AR49" s="447" t="e">
        <f t="shared" ca="1" si="78"/>
        <v>#NAME?</v>
      </c>
      <c r="AS49" s="447" t="e">
        <f t="shared" ca="1" si="79"/>
        <v>#NAME?</v>
      </c>
      <c r="AT49" s="447" t="e">
        <f t="shared" si="80"/>
        <v>#REF!</v>
      </c>
      <c r="AU49" s="447" t="e">
        <f t="shared" si="81"/>
        <v>#REF!</v>
      </c>
      <c r="AV49" s="18"/>
      <c r="AW49" s="82" t="e">
        <f t="shared" ca="1" si="87"/>
        <v>#REF!</v>
      </c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</row>
    <row r="50" spans="1:65" x14ac:dyDescent="0.2">
      <c r="A50" s="560" t="s">
        <v>202</v>
      </c>
      <c r="B50" s="589" t="s">
        <v>403</v>
      </c>
      <c r="C50" s="584">
        <v>894.17322834645665</v>
      </c>
      <c r="D50" s="16"/>
      <c r="E50" s="17">
        <v>22.63</v>
      </c>
      <c r="F50" s="17">
        <v>0</v>
      </c>
      <c r="G50">
        <v>1186</v>
      </c>
      <c r="H50">
        <v>728</v>
      </c>
      <c r="I50">
        <v>85.78</v>
      </c>
      <c r="J50" s="17">
        <v>40</v>
      </c>
      <c r="K50">
        <v>44.57</v>
      </c>
      <c r="L50">
        <v>956.07</v>
      </c>
      <c r="M50" s="271">
        <v>0</v>
      </c>
      <c r="N50" s="271">
        <v>0</v>
      </c>
      <c r="O50">
        <v>94.03</v>
      </c>
      <c r="P50">
        <v>95.46</v>
      </c>
      <c r="Q50" s="58"/>
      <c r="R50" s="18"/>
      <c r="S50" s="441">
        <f t="shared" si="66"/>
        <v>3157.0800000000004</v>
      </c>
      <c r="T50" s="441" t="e">
        <f t="shared" si="82"/>
        <v>#REF!</v>
      </c>
      <c r="U50" s="441" t="e">
        <f>MAX(U$41:U$42)+IF($B$2="mil",1,0.0254)*DDR2Specs!$E$3</f>
        <v>#REF!</v>
      </c>
      <c r="V50" s="441" t="e">
        <f>MIN(U$41:U$42)+IF($B$2="mil",1,0.0254)*DDR2Specs!$F$3</f>
        <v>#REF!</v>
      </c>
      <c r="W50" s="18"/>
      <c r="X50" s="534" t="e">
        <f t="shared" si="67"/>
        <v>#REF!</v>
      </c>
      <c r="Y50" s="447" t="e">
        <f t="shared" si="83"/>
        <v>#REF!</v>
      </c>
      <c r="Z50" s="18"/>
      <c r="AA50" s="441">
        <f t="shared" si="68"/>
        <v>3158.51</v>
      </c>
      <c r="AB50" s="441" t="e">
        <f t="shared" si="84"/>
        <v>#REF!</v>
      </c>
      <c r="AC50" s="441" t="e">
        <f>MAX(AC$41:AC$42)+IF($B$2="mil",1,0.0254)*DDR2Specs!$E$3</f>
        <v>#REF!</v>
      </c>
      <c r="AD50" s="441" t="e">
        <f>MIN(AC$41:AC$42)+IF($B$2="mil",1,0.0254)*DDR2Specs!$F$3</f>
        <v>#REF!</v>
      </c>
      <c r="AE50" s="18"/>
      <c r="AF50" s="534" t="e">
        <f t="shared" si="85"/>
        <v>#REF!</v>
      </c>
      <c r="AG50" s="447" t="e">
        <f t="shared" si="86"/>
        <v>#REF!</v>
      </c>
      <c r="AH50" s="18"/>
      <c r="AI50" s="447" t="e">
        <f t="shared" si="69"/>
        <v>#REF!</v>
      </c>
      <c r="AJ50" s="447" t="e">
        <f t="shared" si="70"/>
        <v>#REF!</v>
      </c>
      <c r="AK50" s="447" t="e">
        <f t="shared" si="71"/>
        <v>#REF!</v>
      </c>
      <c r="AL50" s="447" t="e">
        <f t="shared" si="72"/>
        <v>#REF!</v>
      </c>
      <c r="AM50" s="447" t="e">
        <f t="shared" si="73"/>
        <v>#REF!</v>
      </c>
      <c r="AN50" s="447" t="e">
        <f t="shared" si="74"/>
        <v>#REF!</v>
      </c>
      <c r="AO50" s="447" t="e">
        <f t="shared" si="75"/>
        <v>#REF!</v>
      </c>
      <c r="AP50" s="447" t="e">
        <f t="shared" si="76"/>
        <v>#REF!</v>
      </c>
      <c r="AQ50" s="445" t="e">
        <f t="shared" si="77"/>
        <v>#REF!</v>
      </c>
      <c r="AR50" s="447" t="e">
        <f t="shared" ca="1" si="78"/>
        <v>#NAME?</v>
      </c>
      <c r="AS50" s="447" t="e">
        <f t="shared" ca="1" si="79"/>
        <v>#NAME?</v>
      </c>
      <c r="AT50" s="447" t="e">
        <f t="shared" si="80"/>
        <v>#REF!</v>
      </c>
      <c r="AU50" s="447" t="e">
        <f t="shared" si="81"/>
        <v>#REF!</v>
      </c>
      <c r="AV50" s="18"/>
      <c r="AW50" s="82" t="e">
        <f t="shared" ca="1" si="87"/>
        <v>#REF!</v>
      </c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</row>
    <row r="51" spans="1:65" x14ac:dyDescent="0.2">
      <c r="A51" s="560" t="s">
        <v>203</v>
      </c>
      <c r="B51" s="590" t="s">
        <v>556</v>
      </c>
      <c r="C51" s="584">
        <v>728.70078740157487</v>
      </c>
      <c r="D51" s="16"/>
      <c r="E51" s="17">
        <v>22.63</v>
      </c>
      <c r="F51" s="17">
        <v>0</v>
      </c>
      <c r="G51">
        <v>1350</v>
      </c>
      <c r="H51">
        <v>720</v>
      </c>
      <c r="I51">
        <v>85.78</v>
      </c>
      <c r="J51" s="17">
        <v>40</v>
      </c>
      <c r="K51">
        <v>85.78</v>
      </c>
      <c r="L51">
        <v>949.23</v>
      </c>
      <c r="M51" s="271">
        <v>0</v>
      </c>
      <c r="N51" s="271">
        <v>0</v>
      </c>
      <c r="O51">
        <v>68.790000000000006</v>
      </c>
      <c r="P51">
        <v>70.290000000000006</v>
      </c>
      <c r="Q51" s="58"/>
      <c r="R51" s="18"/>
      <c r="S51" s="441">
        <f t="shared" si="66"/>
        <v>3322.2100000000005</v>
      </c>
      <c r="T51" s="441" t="e">
        <f t="shared" si="82"/>
        <v>#REF!</v>
      </c>
      <c r="U51" s="441" t="e">
        <f>MAX(U$41:U$42)+IF($B$2="mil",1,0.0254)*DDR2Specs!$E$3</f>
        <v>#REF!</v>
      </c>
      <c r="V51" s="441" t="e">
        <f>MIN(U$41:U$42)+IF($B$2="mil",1,0.0254)*DDR2Specs!$F$3</f>
        <v>#REF!</v>
      </c>
      <c r="W51" s="18"/>
      <c r="X51" s="534" t="e">
        <f t="shared" si="67"/>
        <v>#REF!</v>
      </c>
      <c r="Y51" s="447" t="e">
        <f t="shared" si="83"/>
        <v>#REF!</v>
      </c>
      <c r="Z51" s="18"/>
      <c r="AA51" s="441">
        <f t="shared" si="68"/>
        <v>3323.7100000000005</v>
      </c>
      <c r="AB51" s="441" t="e">
        <f t="shared" si="84"/>
        <v>#REF!</v>
      </c>
      <c r="AC51" s="441" t="e">
        <f>MAX(AC$41:AC$42)+IF($B$2="mil",1,0.0254)*DDR2Specs!$E$3</f>
        <v>#REF!</v>
      </c>
      <c r="AD51" s="441" t="e">
        <f>MIN(AC$41:AC$42)+IF($B$2="mil",1,0.0254)*DDR2Specs!$F$3</f>
        <v>#REF!</v>
      </c>
      <c r="AE51" s="18"/>
      <c r="AF51" s="534" t="e">
        <f t="shared" si="85"/>
        <v>#REF!</v>
      </c>
      <c r="AG51" s="447" t="e">
        <f t="shared" si="86"/>
        <v>#REF!</v>
      </c>
      <c r="AH51" s="18"/>
      <c r="AI51" s="447" t="e">
        <f t="shared" si="69"/>
        <v>#REF!</v>
      </c>
      <c r="AJ51" s="447" t="e">
        <f t="shared" si="70"/>
        <v>#REF!</v>
      </c>
      <c r="AK51" s="447" t="e">
        <f t="shared" si="71"/>
        <v>#REF!</v>
      </c>
      <c r="AL51" s="447" t="e">
        <f t="shared" si="72"/>
        <v>#REF!</v>
      </c>
      <c r="AM51" s="447" t="e">
        <f t="shared" si="73"/>
        <v>#REF!</v>
      </c>
      <c r="AN51" s="447" t="e">
        <f t="shared" si="74"/>
        <v>#REF!</v>
      </c>
      <c r="AO51" s="447" t="e">
        <f t="shared" si="75"/>
        <v>#REF!</v>
      </c>
      <c r="AP51" s="447" t="e">
        <f t="shared" si="76"/>
        <v>#REF!</v>
      </c>
      <c r="AQ51" s="445" t="e">
        <f t="shared" si="77"/>
        <v>#REF!</v>
      </c>
      <c r="AR51" s="447" t="e">
        <f t="shared" ca="1" si="78"/>
        <v>#NAME?</v>
      </c>
      <c r="AS51" s="447" t="e">
        <f t="shared" ca="1" si="79"/>
        <v>#NAME?</v>
      </c>
      <c r="AT51" s="447" t="e">
        <f t="shared" si="80"/>
        <v>#REF!</v>
      </c>
      <c r="AU51" s="447" t="e">
        <f t="shared" si="81"/>
        <v>#REF!</v>
      </c>
      <c r="AV51" s="18"/>
      <c r="AW51" s="82" t="e">
        <f t="shared" ca="1" si="87"/>
        <v>#REF!</v>
      </c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</row>
    <row r="52" spans="1:65" x14ac:dyDescent="0.2">
      <c r="A52" s="563" t="s">
        <v>249</v>
      </c>
      <c r="B52" s="591"/>
      <c r="C52" s="585"/>
      <c r="D52" s="51"/>
      <c r="E52" s="68"/>
      <c r="F52" s="68"/>
      <c r="G52" s="394"/>
      <c r="H52" s="265"/>
      <c r="I52" s="265"/>
      <c r="J52" s="265"/>
      <c r="K52" s="265"/>
      <c r="L52" s="265"/>
      <c r="M52" s="265"/>
      <c r="N52" s="265"/>
      <c r="O52" s="265"/>
      <c r="P52" s="265"/>
      <c r="Q52" s="8"/>
      <c r="R52" s="540"/>
      <c r="S52" s="68"/>
      <c r="T52" s="539"/>
      <c r="U52" s="539"/>
      <c r="V52" s="540"/>
      <c r="W52" s="540"/>
      <c r="X52" s="541"/>
      <c r="Y52" s="15"/>
      <c r="Z52" s="540"/>
      <c r="AA52" s="68"/>
      <c r="AB52" s="539"/>
      <c r="AC52" s="539"/>
      <c r="AD52" s="540"/>
      <c r="AE52" s="540"/>
      <c r="AF52" s="541"/>
      <c r="AG52" s="15"/>
      <c r="AH52" s="540"/>
      <c r="AI52" s="15"/>
      <c r="AJ52" s="15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69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</row>
    <row r="53" spans="1:65" x14ac:dyDescent="0.2">
      <c r="A53" s="576" t="str">
        <f>'DDR2 Strobes - 2x16'!$A$27</f>
        <v>SA_DQS4</v>
      </c>
      <c r="B53" s="592" t="str">
        <f>'DDR2 Strobes - 2x16'!$B$27</f>
        <v>AB19</v>
      </c>
      <c r="C53" s="586"/>
      <c r="D53" s="44"/>
      <c r="E53" s="67"/>
      <c r="F53" s="67"/>
      <c r="G53" s="395"/>
      <c r="H53" s="266"/>
      <c r="I53" s="266"/>
      <c r="J53" s="266"/>
      <c r="K53" s="266"/>
      <c r="L53" s="266"/>
      <c r="M53" s="266"/>
      <c r="N53" s="266"/>
      <c r="O53" s="266"/>
      <c r="P53" s="266"/>
      <c r="Q53" s="67"/>
      <c r="R53" s="48"/>
      <c r="S53" s="67"/>
      <c r="T53" s="48"/>
      <c r="U53" s="48" t="e">
        <f>'DDR2 Strobes - 2x16'!$U$27</f>
        <v>#REF!</v>
      </c>
      <c r="V53" s="48"/>
      <c r="W53" s="48"/>
      <c r="X53" s="48"/>
      <c r="Y53" s="542"/>
      <c r="Z53" s="48"/>
      <c r="AA53" s="67"/>
      <c r="AB53" s="48"/>
      <c r="AC53" s="48" t="e">
        <f>'DDR2 Strobes - 2x16'!$AC$27</f>
        <v>#REF!</v>
      </c>
      <c r="AD53" s="48"/>
      <c r="AE53" s="48"/>
      <c r="AF53" s="48"/>
      <c r="AG53" s="542"/>
      <c r="AH53" s="48"/>
      <c r="AI53" s="542"/>
      <c r="AJ53" s="542"/>
      <c r="AK53" s="542"/>
      <c r="AL53" s="542"/>
      <c r="AM53" s="542"/>
      <c r="AN53" s="542"/>
      <c r="AO53" s="542"/>
      <c r="AP53" s="542"/>
      <c r="AQ53" s="542"/>
      <c r="AR53" s="542"/>
      <c r="AS53" s="542"/>
      <c r="AT53" s="542"/>
      <c r="AU53" s="542"/>
      <c r="AV53" s="48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</row>
    <row r="54" spans="1:65" x14ac:dyDescent="0.2">
      <c r="A54" s="576" t="str">
        <f>'DDR2 Strobes - 2x16'!$A$28</f>
        <v>SA_DQS4#</v>
      </c>
      <c r="B54" s="592" t="str">
        <f>'DDR2 Strobes - 2x16'!$B$28</f>
        <v>AB18</v>
      </c>
      <c r="C54" s="586"/>
      <c r="D54" s="44"/>
      <c r="E54" s="67"/>
      <c r="F54" s="67"/>
      <c r="G54" s="395"/>
      <c r="H54" s="266"/>
      <c r="I54" s="266"/>
      <c r="J54" s="266"/>
      <c r="K54" s="266"/>
      <c r="L54" s="266"/>
      <c r="M54" s="266"/>
      <c r="N54" s="266"/>
      <c r="O54" s="266"/>
      <c r="P54" s="266"/>
      <c r="Q54" s="67"/>
      <c r="R54" s="48"/>
      <c r="S54" s="536"/>
      <c r="T54" s="537"/>
      <c r="U54" s="48" t="e">
        <f>'DDR2 Strobes - 2x16'!$U$28</f>
        <v>#REF!</v>
      </c>
      <c r="V54" s="48"/>
      <c r="W54" s="48"/>
      <c r="X54" s="48"/>
      <c r="Y54" s="542"/>
      <c r="Z54" s="48"/>
      <c r="AA54" s="536"/>
      <c r="AB54" s="537"/>
      <c r="AC54" s="48" t="e">
        <f>'DDR2 Strobes - 2x16'!$AC$28</f>
        <v>#REF!</v>
      </c>
      <c r="AD54" s="48"/>
      <c r="AE54" s="48"/>
      <c r="AF54" s="48"/>
      <c r="AG54" s="542"/>
      <c r="AH54" s="48"/>
      <c r="AI54" s="542"/>
      <c r="AJ54" s="542"/>
      <c r="AK54" s="543"/>
      <c r="AL54" s="543"/>
      <c r="AM54" s="543"/>
      <c r="AN54" s="543"/>
      <c r="AO54" s="543"/>
      <c r="AP54" s="543"/>
      <c r="AQ54" s="543"/>
      <c r="AR54" s="543"/>
      <c r="AS54" s="543"/>
      <c r="AT54" s="543"/>
      <c r="AU54" s="543"/>
      <c r="AV54" s="48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</row>
    <row r="55" spans="1:65" x14ac:dyDescent="0.2">
      <c r="A55" s="560" t="s">
        <v>204</v>
      </c>
      <c r="B55" s="589" t="s">
        <v>526</v>
      </c>
      <c r="C55" s="584">
        <v>655.8661417322835</v>
      </c>
      <c r="D55" s="16"/>
      <c r="E55" s="17">
        <v>22.63</v>
      </c>
      <c r="F55" s="17">
        <v>0</v>
      </c>
      <c r="G55">
        <v>1260</v>
      </c>
      <c r="H55">
        <v>821.61</v>
      </c>
      <c r="I55">
        <v>44.57</v>
      </c>
      <c r="J55" s="17">
        <v>40</v>
      </c>
      <c r="K55">
        <v>85.78</v>
      </c>
      <c r="L55">
        <v>1101.1199999999999</v>
      </c>
      <c r="M55" s="271">
        <v>0</v>
      </c>
      <c r="N55" s="271">
        <v>0</v>
      </c>
      <c r="O55">
        <v>95.78</v>
      </c>
      <c r="P55">
        <v>95.76</v>
      </c>
      <c r="Q55" s="58"/>
      <c r="R55" s="18"/>
      <c r="S55" s="441">
        <f t="shared" ref="S55:S63" si="88">SUM(E55:G55,H55:M55,O55)</f>
        <v>3471.4900000000007</v>
      </c>
      <c r="T55" s="441" t="e">
        <f>S55+IF($B$2="mil",1,0.0254)*$C55</f>
        <v>#REF!</v>
      </c>
      <c r="U55" s="441" t="e">
        <f>MAX(U$53:U$54)+IF($B$2="mil",1,0.0254)*DDR2Specs!$E$3</f>
        <v>#REF!</v>
      </c>
      <c r="V55" s="441" t="e">
        <f>MIN(U$53:U$54)+IF($B$2="mil",1,0.0254)*DDR2Specs!$F$3</f>
        <v>#REF!</v>
      </c>
      <c r="W55" s="18"/>
      <c r="X55" s="534" t="e">
        <f t="shared" ref="X55:X63" si="89">IF($T55&lt;$U55,$U55-$T55,"Pass")</f>
        <v>#REF!</v>
      </c>
      <c r="Y55" s="447" t="e">
        <f t="shared" ref="Y55:Y63" si="90">IF($T55&gt;$V55,$T55-$V55,"Pass")</f>
        <v>#REF!</v>
      </c>
      <c r="Z55" s="18"/>
      <c r="AA55" s="441">
        <f t="shared" ref="AA55:AA63" si="91">SUM(E55:G55,H55:L55,N55,P55)</f>
        <v>3471.4700000000007</v>
      </c>
      <c r="AB55" s="441" t="e">
        <f>AA55+IF($B$2="mil",1,0.0254)*$C55</f>
        <v>#REF!</v>
      </c>
      <c r="AC55" s="441" t="e">
        <f>MAX(AC$53:AC$54)+IF($B$2="mil",1,0.0254)*DDR2Specs!$E$3</f>
        <v>#REF!</v>
      </c>
      <c r="AD55" s="441" t="e">
        <f>MIN(AC$53:AC$54)+IF($B$2="mil",1,0.0254)*DDR2Specs!$F$3</f>
        <v>#REF!</v>
      </c>
      <c r="AE55" s="18"/>
      <c r="AF55" s="534" t="e">
        <f>IF($AB55&lt;$AC55,$AC55-$AB55,"Pass")</f>
        <v>#REF!</v>
      </c>
      <c r="AG55" s="447" t="e">
        <f>IF($AB55&gt;$AD55,$AB55-$AD55,"Pass")</f>
        <v>#REF!</v>
      </c>
      <c r="AH55" s="18"/>
      <c r="AI55" s="447" t="e">
        <f t="shared" ref="AI55:AI63" si="92">IF($E55&lt;=IF($B$2="mil",1,0.0254)*50,"Pass",IF($B$2="mil",1,0.0254)*50-$E55)</f>
        <v>#REF!</v>
      </c>
      <c r="AJ55" s="447" t="e">
        <f t="shared" ref="AJ55:AJ63" si="93">IF($F55&lt;=IF($B$2="mil",1,0.0254)*500,"Pass",IF($B$2="mil",1,0.0254)*500-$F55)</f>
        <v>#REF!</v>
      </c>
      <c r="AK55" s="447" t="e">
        <f t="shared" ref="AK55:AK63" si="94">IF(($G55+$H55)&lt;=IF($B$2="mil",1,0.0254)*2750,"Pass",IF($B$2="mil",1,0.0254)*2750-($G55+D55))</f>
        <v>#REF!</v>
      </c>
      <c r="AL55" s="447" t="e">
        <f t="shared" ref="AL55:AL63" si="95">IF($I55&lt;=IF($B$2="mil",1,0.0254)*125,"Pass",IF($B$2="mil",1,0.0254)*125-$I55)</f>
        <v>#REF!</v>
      </c>
      <c r="AM55" s="447" t="e">
        <f t="shared" ref="AM55:AM63" si="96">IF($K55&lt;=IF($B$2="mil",1,0.0254)*125,"Pass",IF($B$2="mil",1,0.0254)*125-$K55)</f>
        <v>#REF!</v>
      </c>
      <c r="AN55" s="447" t="e">
        <f t="shared" ref="AN55:AN63" si="97">IF(($K55+$L55)&lt;=IF($B$2="mil",1,0.0254)*1350,"Pass",IF($B$2="mil",1,0.0254)*1350-($K55+L55))</f>
        <v>#REF!</v>
      </c>
      <c r="AO55" s="447" t="e">
        <f t="shared" ref="AO55:AO63" si="98">IF($M55&lt;=IF($B$2="mil",1,0.0254)*650,"Pass",IF($B$2="mil",1,0.0254)*650-$M55)</f>
        <v>#REF!</v>
      </c>
      <c r="AP55" s="447" t="e">
        <f t="shared" ref="AP55:AP63" si="99">IF($N55&lt;=IF($B$2="mil",1,0.0254)*650,"Pass",IF($B$2="mil",1,0.0254)*650-$N55)</f>
        <v>#REF!</v>
      </c>
      <c r="AQ55" s="445" t="e">
        <f t="shared" ref="AQ55:AQ63" si="100">IF(MAX(M55:N55)-MIN(M55:N55)&lt;=IF($B$2="mil",1,0.0254)*50,"Pass",MAX(M55:N55)-MIN(M55:N55)-IF($B$2="mil",1,0.0254)*50)</f>
        <v>#REF!</v>
      </c>
      <c r="AR55" s="447" t="e">
        <f t="shared" ref="AR55:AR63" ca="1" si="101">CheckLength2(IF($B$2="mil",1,0.0254)*800,$O55,M55,0)</f>
        <v>#NAME?</v>
      </c>
      <c r="AS55" s="447" t="e">
        <f t="shared" ref="AS55:AS63" ca="1" si="102">CheckLength2(IF($B$2="mil",1,0.0254)*800,$P55,N55,0)</f>
        <v>#NAME?</v>
      </c>
      <c r="AT55" s="447" t="e">
        <f t="shared" ref="AT55:AT63" si="103">IF(AND($S55&gt;=IF($B$2="mil",1,0.0254)*500, $S55&lt;=IF($B$2="mil",1,0.0254)*5500),"Pass",IF($B$2="mil",1,0.0254)*5500-$S55)</f>
        <v>#REF!</v>
      </c>
      <c r="AU55" s="447" t="e">
        <f t="shared" ref="AU55:AU63" si="104">IF(AND($T55&gt;=IF($B$2="mil",1,0.0254)*500, $T55&lt;=IF($B$2="mil",1,0.0254)*6000),"Pass",IF($B$2="mil",1,0.0254)*6000-$T55)</f>
        <v>#REF!</v>
      </c>
      <c r="AV55" s="18"/>
      <c r="AW55" s="82" t="e">
        <f ca="1">IF(AND(AF55="Pass",AG55="Pass",AI55="Pass",AJ55="Pass",AS55="Pass",AN55="Pass",AO55="Pass",AP55="Pass",AQ55="Pass",AR55="Pass",AM55="Pass",AL55="Pass",AK55="Pass",X55="Pass",Y55="Pass",AT55="Pass",AU55="Pass"),"Pass","Fail")</f>
        <v>#REF!</v>
      </c>
      <c r="AX55" s="2" t="e">
        <f ca="1">IF(AND(AW55="Pass",AW56="Pass",AW57="Pass",AW58="Pass",AW59="Pass",AW60="Pass",AW61="Pass",AW62="Pass",AW63="Pass"),"Pass","Fail")</f>
        <v>#REF!</v>
      </c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</row>
    <row r="56" spans="1:65" x14ac:dyDescent="0.2">
      <c r="A56" s="560" t="s">
        <v>205</v>
      </c>
      <c r="B56" s="589" t="s">
        <v>405</v>
      </c>
      <c r="C56" s="584">
        <v>729.25196850393706</v>
      </c>
      <c r="D56" s="16"/>
      <c r="E56" s="17">
        <v>22.63</v>
      </c>
      <c r="F56" s="17">
        <v>0</v>
      </c>
      <c r="G56">
        <v>1205</v>
      </c>
      <c r="H56">
        <v>783</v>
      </c>
      <c r="I56">
        <v>85.78</v>
      </c>
      <c r="J56" s="17">
        <v>40</v>
      </c>
      <c r="K56">
        <v>44.57</v>
      </c>
      <c r="L56">
        <v>1204.29</v>
      </c>
      <c r="M56" s="271">
        <v>0</v>
      </c>
      <c r="N56" s="271">
        <v>0</v>
      </c>
      <c r="O56">
        <v>22.26</v>
      </c>
      <c r="P56">
        <v>22.23</v>
      </c>
      <c r="Q56" s="58"/>
      <c r="R56" s="18"/>
      <c r="S56" s="441">
        <f t="shared" si="88"/>
        <v>3407.5300000000007</v>
      </c>
      <c r="T56" s="441" t="e">
        <f t="shared" ref="T56:T63" si="105">S56+IF($B$2="mil",1,0.0254)*$C56</f>
        <v>#REF!</v>
      </c>
      <c r="U56" s="441" t="e">
        <f>MAX(U$53:U$54)+IF($B$2="mil",1,0.0254)*DDR2Specs!$E$3</f>
        <v>#REF!</v>
      </c>
      <c r="V56" s="441" t="e">
        <f>MIN(U$53:U$54)+IF($B$2="mil",1,0.0254)*DDR2Specs!$F$3</f>
        <v>#REF!</v>
      </c>
      <c r="W56" s="18"/>
      <c r="X56" s="534" t="e">
        <f t="shared" si="89"/>
        <v>#REF!</v>
      </c>
      <c r="Y56" s="447" t="e">
        <f t="shared" si="90"/>
        <v>#REF!</v>
      </c>
      <c r="Z56" s="18"/>
      <c r="AA56" s="441">
        <f t="shared" si="91"/>
        <v>3407.5000000000005</v>
      </c>
      <c r="AB56" s="441" t="e">
        <f t="shared" ref="AB56:AB63" si="106">AA56+IF($B$2="mil",1,0.0254)*$C56</f>
        <v>#REF!</v>
      </c>
      <c r="AC56" s="441" t="e">
        <f>MAX(AC$53:AC$54)+IF($B$2="mil",1,0.0254)*DDR2Specs!$E$3</f>
        <v>#REF!</v>
      </c>
      <c r="AD56" s="441" t="e">
        <f>MIN(AC$53:AC$54)+IF($B$2="mil",1,0.0254)*DDR2Specs!$F$3</f>
        <v>#REF!</v>
      </c>
      <c r="AE56" s="18"/>
      <c r="AF56" s="534" t="e">
        <f t="shared" ref="AF56:AF63" si="107">IF($AB56&lt;$AC56,$AC56-$AB56,"Pass")</f>
        <v>#REF!</v>
      </c>
      <c r="AG56" s="447" t="e">
        <f t="shared" ref="AG56:AG63" si="108">IF($AB56&gt;$AD56,$AB56-$AD56,"Pass")</f>
        <v>#REF!</v>
      </c>
      <c r="AH56" s="18"/>
      <c r="AI56" s="447" t="e">
        <f t="shared" si="92"/>
        <v>#REF!</v>
      </c>
      <c r="AJ56" s="447" t="e">
        <f t="shared" si="93"/>
        <v>#REF!</v>
      </c>
      <c r="AK56" s="447" t="e">
        <f t="shared" si="94"/>
        <v>#REF!</v>
      </c>
      <c r="AL56" s="447" t="e">
        <f t="shared" si="95"/>
        <v>#REF!</v>
      </c>
      <c r="AM56" s="447" t="e">
        <f t="shared" si="96"/>
        <v>#REF!</v>
      </c>
      <c r="AN56" s="447" t="e">
        <f t="shared" si="97"/>
        <v>#REF!</v>
      </c>
      <c r="AO56" s="447" t="e">
        <f t="shared" si="98"/>
        <v>#REF!</v>
      </c>
      <c r="AP56" s="447" t="e">
        <f t="shared" si="99"/>
        <v>#REF!</v>
      </c>
      <c r="AQ56" s="445" t="e">
        <f t="shared" si="100"/>
        <v>#REF!</v>
      </c>
      <c r="AR56" s="447" t="e">
        <f t="shared" ca="1" si="101"/>
        <v>#NAME?</v>
      </c>
      <c r="AS56" s="447" t="e">
        <f t="shared" ca="1" si="102"/>
        <v>#NAME?</v>
      </c>
      <c r="AT56" s="447" t="e">
        <f t="shared" si="103"/>
        <v>#REF!</v>
      </c>
      <c r="AU56" s="447" t="e">
        <f t="shared" si="104"/>
        <v>#REF!</v>
      </c>
      <c r="AV56" s="18"/>
      <c r="AW56" s="82" t="e">
        <f t="shared" ref="AW56:AW63" ca="1" si="109">IF(AND(AF56="Pass",AG56="Pass",AI56="Pass",AJ56="Pass",AS56="Pass",AN56="Pass",AO56="Pass",AP56="Pass",AQ56="Pass",AR56="Pass",AM56="Pass",AL56="Pass",AK56="Pass",X56="Pass",Y56="Pass",AT56="Pass",AU56="Pass"),"Pass","Fail")</f>
        <v>#REF!</v>
      </c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</row>
    <row r="57" spans="1:65" x14ac:dyDescent="0.2">
      <c r="A57" s="560" t="s">
        <v>206</v>
      </c>
      <c r="B57" s="589" t="s">
        <v>409</v>
      </c>
      <c r="C57" s="584">
        <v>732.12598425196848</v>
      </c>
      <c r="D57" s="16"/>
      <c r="E57" s="17">
        <v>22.63</v>
      </c>
      <c r="F57" s="17">
        <v>0</v>
      </c>
      <c r="G57">
        <v>1220</v>
      </c>
      <c r="H57">
        <v>826.59</v>
      </c>
      <c r="I57">
        <v>44.57</v>
      </c>
      <c r="J57" s="17">
        <v>40</v>
      </c>
      <c r="K57">
        <v>85.78</v>
      </c>
      <c r="L57">
        <v>1141.55</v>
      </c>
      <c r="M57" s="271">
        <v>0</v>
      </c>
      <c r="N57" s="271">
        <v>0</v>
      </c>
      <c r="O57">
        <v>22.28</v>
      </c>
      <c r="P57">
        <v>22.25</v>
      </c>
      <c r="Q57" s="58"/>
      <c r="R57" s="18"/>
      <c r="S57" s="441">
        <f t="shared" si="88"/>
        <v>3403.400000000001</v>
      </c>
      <c r="T57" s="441" t="e">
        <f t="shared" si="105"/>
        <v>#REF!</v>
      </c>
      <c r="U57" s="441" t="e">
        <f>MAX(U$53:U$54)+IF($B$2="mil",1,0.0254)*DDR2Specs!$E$3</f>
        <v>#REF!</v>
      </c>
      <c r="V57" s="441" t="e">
        <f>MIN(U$53:U$54)+IF($B$2="mil",1,0.0254)*DDR2Specs!$F$3</f>
        <v>#REF!</v>
      </c>
      <c r="W57" s="18"/>
      <c r="X57" s="534" t="e">
        <f t="shared" si="89"/>
        <v>#REF!</v>
      </c>
      <c r="Y57" s="447" t="e">
        <f t="shared" si="90"/>
        <v>#REF!</v>
      </c>
      <c r="Z57" s="18"/>
      <c r="AA57" s="441">
        <f t="shared" si="91"/>
        <v>3403.3700000000008</v>
      </c>
      <c r="AB57" s="441" t="e">
        <f t="shared" si="106"/>
        <v>#REF!</v>
      </c>
      <c r="AC57" s="441" t="e">
        <f>MAX(AC$53:AC$54)+IF($B$2="mil",1,0.0254)*DDR2Specs!$E$3</f>
        <v>#REF!</v>
      </c>
      <c r="AD57" s="441" t="e">
        <f>MIN(AC$53:AC$54)+IF($B$2="mil",1,0.0254)*DDR2Specs!$F$3</f>
        <v>#REF!</v>
      </c>
      <c r="AE57" s="18"/>
      <c r="AF57" s="534" t="e">
        <f t="shared" si="107"/>
        <v>#REF!</v>
      </c>
      <c r="AG57" s="447" t="e">
        <f t="shared" si="108"/>
        <v>#REF!</v>
      </c>
      <c r="AH57" s="18"/>
      <c r="AI57" s="447" t="e">
        <f t="shared" si="92"/>
        <v>#REF!</v>
      </c>
      <c r="AJ57" s="447" t="e">
        <f t="shared" si="93"/>
        <v>#REF!</v>
      </c>
      <c r="AK57" s="447" t="e">
        <f t="shared" si="94"/>
        <v>#REF!</v>
      </c>
      <c r="AL57" s="447" t="e">
        <f t="shared" si="95"/>
        <v>#REF!</v>
      </c>
      <c r="AM57" s="447" t="e">
        <f t="shared" si="96"/>
        <v>#REF!</v>
      </c>
      <c r="AN57" s="447" t="e">
        <f t="shared" si="97"/>
        <v>#REF!</v>
      </c>
      <c r="AO57" s="447" t="e">
        <f t="shared" si="98"/>
        <v>#REF!</v>
      </c>
      <c r="AP57" s="447" t="e">
        <f t="shared" si="99"/>
        <v>#REF!</v>
      </c>
      <c r="AQ57" s="445" t="e">
        <f t="shared" si="100"/>
        <v>#REF!</v>
      </c>
      <c r="AR57" s="447" t="e">
        <f t="shared" ca="1" si="101"/>
        <v>#NAME?</v>
      </c>
      <c r="AS57" s="447" t="e">
        <f t="shared" ca="1" si="102"/>
        <v>#NAME?</v>
      </c>
      <c r="AT57" s="447" t="e">
        <f t="shared" si="103"/>
        <v>#REF!</v>
      </c>
      <c r="AU57" s="447" t="e">
        <f t="shared" si="104"/>
        <v>#REF!</v>
      </c>
      <c r="AV57" s="18"/>
      <c r="AW57" s="82" t="e">
        <f t="shared" ca="1" si="109"/>
        <v>#REF!</v>
      </c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</row>
    <row r="58" spans="1:65" x14ac:dyDescent="0.2">
      <c r="A58" s="560" t="s">
        <v>207</v>
      </c>
      <c r="B58" s="589" t="s">
        <v>527</v>
      </c>
      <c r="C58" s="584">
        <v>731.0236220472442</v>
      </c>
      <c r="D58" s="16"/>
      <c r="E58" s="17">
        <v>22.63</v>
      </c>
      <c r="F58" s="17">
        <v>0</v>
      </c>
      <c r="G58">
        <v>1180</v>
      </c>
      <c r="H58">
        <v>782</v>
      </c>
      <c r="I58">
        <v>85.78</v>
      </c>
      <c r="J58" s="17">
        <v>40</v>
      </c>
      <c r="K58">
        <v>44.57</v>
      </c>
      <c r="L58">
        <v>1227.3599999999999</v>
      </c>
      <c r="M58" s="271">
        <v>0</v>
      </c>
      <c r="N58" s="271">
        <v>0</v>
      </c>
      <c r="O58">
        <v>22.25</v>
      </c>
      <c r="P58">
        <v>22.28</v>
      </c>
      <c r="Q58" s="58"/>
      <c r="R58" s="18"/>
      <c r="S58" s="441">
        <f t="shared" si="88"/>
        <v>3404.59</v>
      </c>
      <c r="T58" s="441" t="e">
        <f t="shared" si="105"/>
        <v>#REF!</v>
      </c>
      <c r="U58" s="441" t="e">
        <f>MAX(U$53:U$54)+IF($B$2="mil",1,0.0254)*DDR2Specs!$E$3</f>
        <v>#REF!</v>
      </c>
      <c r="V58" s="441" t="e">
        <f>MIN(U$53:U$54)+IF($B$2="mil",1,0.0254)*DDR2Specs!$F$3</f>
        <v>#REF!</v>
      </c>
      <c r="W58" s="18"/>
      <c r="X58" s="534" t="e">
        <f t="shared" si="89"/>
        <v>#REF!</v>
      </c>
      <c r="Y58" s="447" t="e">
        <f t="shared" si="90"/>
        <v>#REF!</v>
      </c>
      <c r="Z58" s="18"/>
      <c r="AA58" s="441">
        <f t="shared" si="91"/>
        <v>3404.6200000000003</v>
      </c>
      <c r="AB58" s="441" t="e">
        <f t="shared" si="106"/>
        <v>#REF!</v>
      </c>
      <c r="AC58" s="441" t="e">
        <f>MAX(AC$53:AC$54)+IF($B$2="mil",1,0.0254)*DDR2Specs!$E$3</f>
        <v>#REF!</v>
      </c>
      <c r="AD58" s="441" t="e">
        <f>MIN(AC$53:AC$54)+IF($B$2="mil",1,0.0254)*DDR2Specs!$F$3</f>
        <v>#REF!</v>
      </c>
      <c r="AE58" s="18"/>
      <c r="AF58" s="534" t="e">
        <f t="shared" si="107"/>
        <v>#REF!</v>
      </c>
      <c r="AG58" s="447" t="e">
        <f t="shared" si="108"/>
        <v>#REF!</v>
      </c>
      <c r="AH58" s="18"/>
      <c r="AI58" s="447" t="e">
        <f t="shared" si="92"/>
        <v>#REF!</v>
      </c>
      <c r="AJ58" s="447" t="e">
        <f t="shared" si="93"/>
        <v>#REF!</v>
      </c>
      <c r="AK58" s="447" t="e">
        <f t="shared" si="94"/>
        <v>#REF!</v>
      </c>
      <c r="AL58" s="447" t="e">
        <f t="shared" si="95"/>
        <v>#REF!</v>
      </c>
      <c r="AM58" s="447" t="e">
        <f t="shared" si="96"/>
        <v>#REF!</v>
      </c>
      <c r="AN58" s="447" t="e">
        <f t="shared" si="97"/>
        <v>#REF!</v>
      </c>
      <c r="AO58" s="447" t="e">
        <f t="shared" si="98"/>
        <v>#REF!</v>
      </c>
      <c r="AP58" s="447" t="e">
        <f t="shared" si="99"/>
        <v>#REF!</v>
      </c>
      <c r="AQ58" s="445" t="e">
        <f t="shared" si="100"/>
        <v>#REF!</v>
      </c>
      <c r="AR58" s="447" t="e">
        <f t="shared" ca="1" si="101"/>
        <v>#NAME?</v>
      </c>
      <c r="AS58" s="447" t="e">
        <f t="shared" ca="1" si="102"/>
        <v>#NAME?</v>
      </c>
      <c r="AT58" s="447" t="e">
        <f t="shared" si="103"/>
        <v>#REF!</v>
      </c>
      <c r="AU58" s="447" t="e">
        <f t="shared" si="104"/>
        <v>#REF!</v>
      </c>
      <c r="AV58" s="18"/>
      <c r="AW58" s="82" t="e">
        <f t="shared" ca="1" si="109"/>
        <v>#REF!</v>
      </c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</row>
    <row r="59" spans="1:65" x14ac:dyDescent="0.2">
      <c r="A59" s="560" t="s">
        <v>208</v>
      </c>
      <c r="B59" s="589" t="s">
        <v>528</v>
      </c>
      <c r="C59" s="584">
        <v>672.48031496062993</v>
      </c>
      <c r="D59" s="16"/>
      <c r="E59" s="17">
        <v>22.63</v>
      </c>
      <c r="F59" s="17">
        <v>0</v>
      </c>
      <c r="G59">
        <v>1260</v>
      </c>
      <c r="H59">
        <v>763.41</v>
      </c>
      <c r="I59">
        <v>44.57</v>
      </c>
      <c r="J59" s="17">
        <v>40</v>
      </c>
      <c r="K59">
        <v>85.78</v>
      </c>
      <c r="L59">
        <v>1177.8</v>
      </c>
      <c r="M59" s="271">
        <v>0</v>
      </c>
      <c r="N59" s="271">
        <v>0</v>
      </c>
      <c r="O59">
        <v>66.61</v>
      </c>
      <c r="P59">
        <v>66.64</v>
      </c>
      <c r="Q59" s="58"/>
      <c r="R59" s="18"/>
      <c r="S59" s="441">
        <f t="shared" si="88"/>
        <v>3460.8000000000006</v>
      </c>
      <c r="T59" s="441" t="e">
        <f t="shared" si="105"/>
        <v>#REF!</v>
      </c>
      <c r="U59" s="441" t="e">
        <f>MAX(U$53:U$54)+IF($B$2="mil",1,0.0254)*DDR2Specs!$E$3</f>
        <v>#REF!</v>
      </c>
      <c r="V59" s="441" t="e">
        <f>MIN(U$53:U$54)+IF($B$2="mil",1,0.0254)*DDR2Specs!$F$3</f>
        <v>#REF!</v>
      </c>
      <c r="W59" s="18"/>
      <c r="X59" s="534" t="e">
        <f t="shared" si="89"/>
        <v>#REF!</v>
      </c>
      <c r="Y59" s="447" t="e">
        <f t="shared" si="90"/>
        <v>#REF!</v>
      </c>
      <c r="Z59" s="18"/>
      <c r="AA59" s="441">
        <f t="shared" si="91"/>
        <v>3460.8300000000004</v>
      </c>
      <c r="AB59" s="441" t="e">
        <f t="shared" si="106"/>
        <v>#REF!</v>
      </c>
      <c r="AC59" s="441" t="e">
        <f>MAX(AC$53:AC$54)+IF($B$2="mil",1,0.0254)*DDR2Specs!$E$3</f>
        <v>#REF!</v>
      </c>
      <c r="AD59" s="441" t="e">
        <f>MIN(AC$53:AC$54)+IF($B$2="mil",1,0.0254)*DDR2Specs!$F$3</f>
        <v>#REF!</v>
      </c>
      <c r="AE59" s="18"/>
      <c r="AF59" s="534" t="e">
        <f t="shared" si="107"/>
        <v>#REF!</v>
      </c>
      <c r="AG59" s="447" t="e">
        <f t="shared" si="108"/>
        <v>#REF!</v>
      </c>
      <c r="AH59" s="18"/>
      <c r="AI59" s="447" t="e">
        <f t="shared" si="92"/>
        <v>#REF!</v>
      </c>
      <c r="AJ59" s="447" t="e">
        <f t="shared" si="93"/>
        <v>#REF!</v>
      </c>
      <c r="AK59" s="447" t="e">
        <f t="shared" si="94"/>
        <v>#REF!</v>
      </c>
      <c r="AL59" s="447" t="e">
        <f t="shared" si="95"/>
        <v>#REF!</v>
      </c>
      <c r="AM59" s="447" t="e">
        <f t="shared" si="96"/>
        <v>#REF!</v>
      </c>
      <c r="AN59" s="447" t="e">
        <f t="shared" si="97"/>
        <v>#REF!</v>
      </c>
      <c r="AO59" s="447" t="e">
        <f t="shared" si="98"/>
        <v>#REF!</v>
      </c>
      <c r="AP59" s="447" t="e">
        <f t="shared" si="99"/>
        <v>#REF!</v>
      </c>
      <c r="AQ59" s="445" t="e">
        <f t="shared" si="100"/>
        <v>#REF!</v>
      </c>
      <c r="AR59" s="447" t="e">
        <f t="shared" ca="1" si="101"/>
        <v>#NAME?</v>
      </c>
      <c r="AS59" s="447" t="e">
        <f t="shared" ca="1" si="102"/>
        <v>#NAME?</v>
      </c>
      <c r="AT59" s="447" t="e">
        <f t="shared" si="103"/>
        <v>#REF!</v>
      </c>
      <c r="AU59" s="447" t="e">
        <f t="shared" si="104"/>
        <v>#REF!</v>
      </c>
      <c r="AV59" s="18"/>
      <c r="AW59" s="82" t="e">
        <f t="shared" ca="1" si="109"/>
        <v>#REF!</v>
      </c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</row>
    <row r="60" spans="1:65" x14ac:dyDescent="0.2">
      <c r="A60" s="560" t="s">
        <v>209</v>
      </c>
      <c r="B60" s="589" t="s">
        <v>404</v>
      </c>
      <c r="C60" s="584">
        <v>669.5275590551181</v>
      </c>
      <c r="D60" s="16"/>
      <c r="E60" s="17">
        <v>22.63</v>
      </c>
      <c r="F60" s="17">
        <v>0</v>
      </c>
      <c r="G60">
        <v>1263</v>
      </c>
      <c r="H60">
        <v>782</v>
      </c>
      <c r="I60">
        <v>85.78</v>
      </c>
      <c r="J60" s="17">
        <v>40</v>
      </c>
      <c r="K60">
        <v>44.57</v>
      </c>
      <c r="L60">
        <v>1154.69</v>
      </c>
      <c r="M60" s="271">
        <v>0</v>
      </c>
      <c r="N60" s="271">
        <v>0</v>
      </c>
      <c r="O60">
        <v>63.34</v>
      </c>
      <c r="P60">
        <v>63.31</v>
      </c>
      <c r="Q60" s="58"/>
      <c r="R60" s="18"/>
      <c r="S60" s="441">
        <f t="shared" si="88"/>
        <v>3456.0100000000007</v>
      </c>
      <c r="T60" s="441" t="e">
        <f t="shared" si="105"/>
        <v>#REF!</v>
      </c>
      <c r="U60" s="441" t="e">
        <f>MAX(U$53:U$54)+IF($B$2="mil",1,0.0254)*DDR2Specs!$E$3</f>
        <v>#REF!</v>
      </c>
      <c r="V60" s="441" t="e">
        <f>MIN(U$53:U$54)+IF($B$2="mil",1,0.0254)*DDR2Specs!$F$3</f>
        <v>#REF!</v>
      </c>
      <c r="W60" s="18"/>
      <c r="X60" s="534" t="e">
        <f t="shared" si="89"/>
        <v>#REF!</v>
      </c>
      <c r="Y60" s="447" t="e">
        <f t="shared" si="90"/>
        <v>#REF!</v>
      </c>
      <c r="Z60" s="18"/>
      <c r="AA60" s="441">
        <f t="shared" si="91"/>
        <v>3455.9800000000005</v>
      </c>
      <c r="AB60" s="441" t="e">
        <f t="shared" si="106"/>
        <v>#REF!</v>
      </c>
      <c r="AC60" s="441" t="e">
        <f>MAX(AC$53:AC$54)+IF($B$2="mil",1,0.0254)*DDR2Specs!$E$3</f>
        <v>#REF!</v>
      </c>
      <c r="AD60" s="441" t="e">
        <f>MIN(AC$53:AC$54)+IF($B$2="mil",1,0.0254)*DDR2Specs!$F$3</f>
        <v>#REF!</v>
      </c>
      <c r="AE60" s="18"/>
      <c r="AF60" s="534" t="e">
        <f t="shared" si="107"/>
        <v>#REF!</v>
      </c>
      <c r="AG60" s="447" t="e">
        <f t="shared" si="108"/>
        <v>#REF!</v>
      </c>
      <c r="AH60" s="18"/>
      <c r="AI60" s="447" t="e">
        <f t="shared" si="92"/>
        <v>#REF!</v>
      </c>
      <c r="AJ60" s="447" t="e">
        <f t="shared" si="93"/>
        <v>#REF!</v>
      </c>
      <c r="AK60" s="447" t="e">
        <f t="shared" si="94"/>
        <v>#REF!</v>
      </c>
      <c r="AL60" s="447" t="e">
        <f t="shared" si="95"/>
        <v>#REF!</v>
      </c>
      <c r="AM60" s="447" t="e">
        <f t="shared" si="96"/>
        <v>#REF!</v>
      </c>
      <c r="AN60" s="447" t="e">
        <f t="shared" si="97"/>
        <v>#REF!</v>
      </c>
      <c r="AO60" s="447" t="e">
        <f t="shared" si="98"/>
        <v>#REF!</v>
      </c>
      <c r="AP60" s="447" t="e">
        <f t="shared" si="99"/>
        <v>#REF!</v>
      </c>
      <c r="AQ60" s="445" t="e">
        <f t="shared" si="100"/>
        <v>#REF!</v>
      </c>
      <c r="AR60" s="447" t="e">
        <f t="shared" ca="1" si="101"/>
        <v>#NAME?</v>
      </c>
      <c r="AS60" s="447" t="e">
        <f t="shared" ca="1" si="102"/>
        <v>#NAME?</v>
      </c>
      <c r="AT60" s="447" t="e">
        <f t="shared" si="103"/>
        <v>#REF!</v>
      </c>
      <c r="AU60" s="447" t="e">
        <f t="shared" si="104"/>
        <v>#REF!</v>
      </c>
      <c r="AV60" s="18"/>
      <c r="AW60" s="82" t="e">
        <f t="shared" ca="1" si="109"/>
        <v>#REF!</v>
      </c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</row>
    <row r="61" spans="1:65" x14ac:dyDescent="0.2">
      <c r="A61" s="560" t="s">
        <v>210</v>
      </c>
      <c r="B61" s="589" t="s">
        <v>529</v>
      </c>
      <c r="C61" s="584">
        <v>639.96062992125985</v>
      </c>
      <c r="D61" s="16"/>
      <c r="E61" s="17">
        <v>22.63</v>
      </c>
      <c r="F61" s="17">
        <v>0</v>
      </c>
      <c r="G61">
        <v>1264</v>
      </c>
      <c r="H61">
        <v>782</v>
      </c>
      <c r="I61">
        <v>85.78</v>
      </c>
      <c r="J61" s="17">
        <v>40</v>
      </c>
      <c r="K61">
        <v>44.57</v>
      </c>
      <c r="L61">
        <v>1221.51</v>
      </c>
      <c r="M61" s="271">
        <v>0</v>
      </c>
      <c r="N61" s="271">
        <v>0</v>
      </c>
      <c r="O61">
        <v>25.06</v>
      </c>
      <c r="P61">
        <v>25.09</v>
      </c>
      <c r="Q61" s="58"/>
      <c r="R61" s="18"/>
      <c r="S61" s="441">
        <f t="shared" si="88"/>
        <v>3485.5500000000006</v>
      </c>
      <c r="T61" s="441" t="e">
        <f t="shared" si="105"/>
        <v>#REF!</v>
      </c>
      <c r="U61" s="441" t="e">
        <f>MAX(U$53:U$54)+IF($B$2="mil",1,0.0254)*DDR2Specs!$E$3</f>
        <v>#REF!</v>
      </c>
      <c r="V61" s="441" t="e">
        <f>MIN(U$53:U$54)+IF($B$2="mil",1,0.0254)*DDR2Specs!$F$3</f>
        <v>#REF!</v>
      </c>
      <c r="W61" s="18"/>
      <c r="X61" s="534" t="e">
        <f t="shared" si="89"/>
        <v>#REF!</v>
      </c>
      <c r="Y61" s="447" t="e">
        <f t="shared" si="90"/>
        <v>#REF!</v>
      </c>
      <c r="Z61" s="18"/>
      <c r="AA61" s="441">
        <f t="shared" si="91"/>
        <v>3485.5800000000008</v>
      </c>
      <c r="AB61" s="441" t="e">
        <f t="shared" si="106"/>
        <v>#REF!</v>
      </c>
      <c r="AC61" s="441" t="e">
        <f>MAX(AC$53:AC$54)+IF($B$2="mil",1,0.0254)*DDR2Specs!$E$3</f>
        <v>#REF!</v>
      </c>
      <c r="AD61" s="441" t="e">
        <f>MIN(AC$53:AC$54)+IF($B$2="mil",1,0.0254)*DDR2Specs!$F$3</f>
        <v>#REF!</v>
      </c>
      <c r="AE61" s="18"/>
      <c r="AF61" s="534" t="e">
        <f t="shared" si="107"/>
        <v>#REF!</v>
      </c>
      <c r="AG61" s="447" t="e">
        <f t="shared" si="108"/>
        <v>#REF!</v>
      </c>
      <c r="AH61" s="18"/>
      <c r="AI61" s="447" t="e">
        <f t="shared" si="92"/>
        <v>#REF!</v>
      </c>
      <c r="AJ61" s="447" t="e">
        <f t="shared" si="93"/>
        <v>#REF!</v>
      </c>
      <c r="AK61" s="447" t="e">
        <f t="shared" si="94"/>
        <v>#REF!</v>
      </c>
      <c r="AL61" s="447" t="e">
        <f t="shared" si="95"/>
        <v>#REF!</v>
      </c>
      <c r="AM61" s="447" t="e">
        <f t="shared" si="96"/>
        <v>#REF!</v>
      </c>
      <c r="AN61" s="447" t="e">
        <f t="shared" si="97"/>
        <v>#REF!</v>
      </c>
      <c r="AO61" s="447" t="e">
        <f t="shared" si="98"/>
        <v>#REF!</v>
      </c>
      <c r="AP61" s="447" t="e">
        <f t="shared" si="99"/>
        <v>#REF!</v>
      </c>
      <c r="AQ61" s="445" t="e">
        <f t="shared" si="100"/>
        <v>#REF!</v>
      </c>
      <c r="AR61" s="447" t="e">
        <f t="shared" ca="1" si="101"/>
        <v>#NAME?</v>
      </c>
      <c r="AS61" s="447" t="e">
        <f t="shared" ca="1" si="102"/>
        <v>#NAME?</v>
      </c>
      <c r="AT61" s="447" t="e">
        <f t="shared" si="103"/>
        <v>#REF!</v>
      </c>
      <c r="AU61" s="447" t="e">
        <f t="shared" si="104"/>
        <v>#REF!</v>
      </c>
      <c r="AV61" s="18"/>
      <c r="AW61" s="82" t="e">
        <f t="shared" ca="1" si="109"/>
        <v>#REF!</v>
      </c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</row>
    <row r="62" spans="1:65" x14ac:dyDescent="0.2">
      <c r="A62" s="560" t="s">
        <v>211</v>
      </c>
      <c r="B62" s="589" t="s">
        <v>530</v>
      </c>
      <c r="C62" s="584">
        <v>696.29921259842524</v>
      </c>
      <c r="D62" s="16"/>
      <c r="E62" s="17">
        <v>22.63</v>
      </c>
      <c r="F62" s="17">
        <v>0</v>
      </c>
      <c r="G62">
        <v>1230</v>
      </c>
      <c r="H62">
        <v>817</v>
      </c>
      <c r="I62">
        <v>44.57</v>
      </c>
      <c r="J62" s="17">
        <v>40</v>
      </c>
      <c r="K62">
        <v>85.78</v>
      </c>
      <c r="L62">
        <v>1174.22</v>
      </c>
      <c r="M62" s="271">
        <v>0</v>
      </c>
      <c r="N62" s="271">
        <v>0</v>
      </c>
      <c r="O62">
        <v>24.29</v>
      </c>
      <c r="P62">
        <v>24.26</v>
      </c>
      <c r="Q62" s="58"/>
      <c r="R62" s="18"/>
      <c r="S62" s="441">
        <f t="shared" si="88"/>
        <v>3438.4900000000007</v>
      </c>
      <c r="T62" s="441" t="e">
        <f t="shared" si="105"/>
        <v>#REF!</v>
      </c>
      <c r="U62" s="441" t="e">
        <f>MAX(U$53:U$54)+IF($B$2="mil",1,0.0254)*DDR2Specs!$E$3</f>
        <v>#REF!</v>
      </c>
      <c r="V62" s="441" t="e">
        <f>MIN(U$53:U$54)+IF($B$2="mil",1,0.0254)*DDR2Specs!$F$3</f>
        <v>#REF!</v>
      </c>
      <c r="W62" s="18"/>
      <c r="X62" s="534" t="e">
        <f t="shared" si="89"/>
        <v>#REF!</v>
      </c>
      <c r="Y62" s="447" t="e">
        <f t="shared" si="90"/>
        <v>#REF!</v>
      </c>
      <c r="Z62" s="18"/>
      <c r="AA62" s="441">
        <f t="shared" si="91"/>
        <v>3438.4600000000009</v>
      </c>
      <c r="AB62" s="441" t="e">
        <f t="shared" si="106"/>
        <v>#REF!</v>
      </c>
      <c r="AC62" s="441" t="e">
        <f>MAX(AC$53:AC$54)+IF($B$2="mil",1,0.0254)*DDR2Specs!$E$3</f>
        <v>#REF!</v>
      </c>
      <c r="AD62" s="441" t="e">
        <f>MIN(AC$53:AC$54)+IF($B$2="mil",1,0.0254)*DDR2Specs!$F$3</f>
        <v>#REF!</v>
      </c>
      <c r="AE62" s="18"/>
      <c r="AF62" s="534" t="e">
        <f t="shared" si="107"/>
        <v>#REF!</v>
      </c>
      <c r="AG62" s="447" t="e">
        <f t="shared" si="108"/>
        <v>#REF!</v>
      </c>
      <c r="AH62" s="18"/>
      <c r="AI62" s="447" t="e">
        <f t="shared" si="92"/>
        <v>#REF!</v>
      </c>
      <c r="AJ62" s="447" t="e">
        <f t="shared" si="93"/>
        <v>#REF!</v>
      </c>
      <c r="AK62" s="447" t="e">
        <f t="shared" si="94"/>
        <v>#REF!</v>
      </c>
      <c r="AL62" s="447" t="e">
        <f t="shared" si="95"/>
        <v>#REF!</v>
      </c>
      <c r="AM62" s="447" t="e">
        <f t="shared" si="96"/>
        <v>#REF!</v>
      </c>
      <c r="AN62" s="447" t="e">
        <f t="shared" si="97"/>
        <v>#REF!</v>
      </c>
      <c r="AO62" s="447" t="e">
        <f t="shared" si="98"/>
        <v>#REF!</v>
      </c>
      <c r="AP62" s="447" t="e">
        <f t="shared" si="99"/>
        <v>#REF!</v>
      </c>
      <c r="AQ62" s="445" t="e">
        <f t="shared" si="100"/>
        <v>#REF!</v>
      </c>
      <c r="AR62" s="447" t="e">
        <f t="shared" ca="1" si="101"/>
        <v>#NAME?</v>
      </c>
      <c r="AS62" s="447" t="e">
        <f t="shared" ca="1" si="102"/>
        <v>#NAME?</v>
      </c>
      <c r="AT62" s="447" t="e">
        <f t="shared" si="103"/>
        <v>#REF!</v>
      </c>
      <c r="AU62" s="447" t="e">
        <f t="shared" si="104"/>
        <v>#REF!</v>
      </c>
      <c r="AV62" s="18"/>
      <c r="AW62" s="82" t="e">
        <f t="shared" ca="1" si="109"/>
        <v>#REF!</v>
      </c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</row>
    <row r="63" spans="1:65" x14ac:dyDescent="0.2">
      <c r="A63" s="560" t="s">
        <v>212</v>
      </c>
      <c r="B63" s="590" t="s">
        <v>158</v>
      </c>
      <c r="C63" s="584">
        <v>755</v>
      </c>
      <c r="D63" s="16"/>
      <c r="E63" s="17">
        <v>22.63</v>
      </c>
      <c r="F63" s="17">
        <v>0</v>
      </c>
      <c r="G63">
        <v>1200</v>
      </c>
      <c r="H63">
        <v>818</v>
      </c>
      <c r="I63">
        <v>44.57</v>
      </c>
      <c r="J63" s="17">
        <v>40</v>
      </c>
      <c r="K63">
        <v>85.78</v>
      </c>
      <c r="L63">
        <v>1102.28</v>
      </c>
      <c r="M63" s="271">
        <v>0</v>
      </c>
      <c r="N63" s="271">
        <v>0</v>
      </c>
      <c r="O63">
        <v>67.39</v>
      </c>
      <c r="P63">
        <v>68.28</v>
      </c>
      <c r="Q63" s="58"/>
      <c r="R63" s="18"/>
      <c r="S63" s="441">
        <f t="shared" si="88"/>
        <v>3380.65</v>
      </c>
      <c r="T63" s="441" t="e">
        <f t="shared" si="105"/>
        <v>#REF!</v>
      </c>
      <c r="U63" s="441" t="e">
        <f>MAX(U$53:U$54)+IF($B$2="mil",1,0.0254)*DDR2Specs!$E$3</f>
        <v>#REF!</v>
      </c>
      <c r="V63" s="441" t="e">
        <f>MIN(U$53:U$54)+IF($B$2="mil",1,0.0254)*DDR2Specs!$F$3</f>
        <v>#REF!</v>
      </c>
      <c r="W63" s="18"/>
      <c r="X63" s="534" t="e">
        <f t="shared" si="89"/>
        <v>#REF!</v>
      </c>
      <c r="Y63" s="447" t="e">
        <f t="shared" si="90"/>
        <v>#REF!</v>
      </c>
      <c r="Z63" s="18"/>
      <c r="AA63" s="441">
        <f t="shared" si="91"/>
        <v>3381.5400000000004</v>
      </c>
      <c r="AB63" s="441" t="e">
        <f t="shared" si="106"/>
        <v>#REF!</v>
      </c>
      <c r="AC63" s="441" t="e">
        <f>MAX(AC$53:AC$54)+IF($B$2="mil",1,0.0254)*DDR2Specs!$E$3</f>
        <v>#REF!</v>
      </c>
      <c r="AD63" s="441" t="e">
        <f>MIN(AC$53:AC$54)+IF($B$2="mil",1,0.0254)*DDR2Specs!$F$3</f>
        <v>#REF!</v>
      </c>
      <c r="AE63" s="18"/>
      <c r="AF63" s="534" t="e">
        <f t="shared" si="107"/>
        <v>#REF!</v>
      </c>
      <c r="AG63" s="447" t="e">
        <f t="shared" si="108"/>
        <v>#REF!</v>
      </c>
      <c r="AH63" s="18"/>
      <c r="AI63" s="447" t="e">
        <f t="shared" si="92"/>
        <v>#REF!</v>
      </c>
      <c r="AJ63" s="447" t="e">
        <f t="shared" si="93"/>
        <v>#REF!</v>
      </c>
      <c r="AK63" s="447" t="e">
        <f t="shared" si="94"/>
        <v>#REF!</v>
      </c>
      <c r="AL63" s="447" t="e">
        <f t="shared" si="95"/>
        <v>#REF!</v>
      </c>
      <c r="AM63" s="447" t="e">
        <f t="shared" si="96"/>
        <v>#REF!</v>
      </c>
      <c r="AN63" s="447" t="e">
        <f t="shared" si="97"/>
        <v>#REF!</v>
      </c>
      <c r="AO63" s="447" t="e">
        <f t="shared" si="98"/>
        <v>#REF!</v>
      </c>
      <c r="AP63" s="447" t="e">
        <f t="shared" si="99"/>
        <v>#REF!</v>
      </c>
      <c r="AQ63" s="445" t="e">
        <f t="shared" si="100"/>
        <v>#REF!</v>
      </c>
      <c r="AR63" s="447" t="e">
        <f t="shared" ca="1" si="101"/>
        <v>#NAME?</v>
      </c>
      <c r="AS63" s="447" t="e">
        <f t="shared" ca="1" si="102"/>
        <v>#NAME?</v>
      </c>
      <c r="AT63" s="447" t="e">
        <f t="shared" si="103"/>
        <v>#REF!</v>
      </c>
      <c r="AU63" s="447" t="e">
        <f t="shared" si="104"/>
        <v>#REF!</v>
      </c>
      <c r="AV63" s="18"/>
      <c r="AW63" s="82" t="e">
        <f t="shared" ca="1" si="109"/>
        <v>#REF!</v>
      </c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</row>
    <row r="64" spans="1:65" x14ac:dyDescent="0.2">
      <c r="A64" s="563" t="s">
        <v>250</v>
      </c>
      <c r="B64" s="591"/>
      <c r="C64" s="585"/>
      <c r="D64" s="51"/>
      <c r="E64" s="68"/>
      <c r="F64" s="68"/>
      <c r="G64" s="394"/>
      <c r="H64" s="265"/>
      <c r="I64" s="265"/>
      <c r="J64" s="265"/>
      <c r="K64" s="265"/>
      <c r="L64" s="265"/>
      <c r="M64" s="265"/>
      <c r="N64" s="265"/>
      <c r="O64" s="265"/>
      <c r="P64" s="265"/>
      <c r="Q64" s="8"/>
      <c r="R64" s="540"/>
      <c r="S64" s="68"/>
      <c r="T64" s="539"/>
      <c r="U64" s="539"/>
      <c r="V64" s="540"/>
      <c r="W64" s="540"/>
      <c r="X64" s="541"/>
      <c r="Y64" s="15"/>
      <c r="Z64" s="540"/>
      <c r="AA64" s="68"/>
      <c r="AB64" s="539"/>
      <c r="AC64" s="539"/>
      <c r="AD64" s="540"/>
      <c r="AE64" s="540"/>
      <c r="AF64" s="541"/>
      <c r="AG64" s="15"/>
      <c r="AH64" s="540"/>
      <c r="AI64" s="15"/>
      <c r="AJ64" s="15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69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</row>
    <row r="65" spans="1:65" x14ac:dyDescent="0.2">
      <c r="A65" s="576" t="str">
        <f>'DDR2 Strobes - 2x16'!$A$32</f>
        <v>SA_DQS5</v>
      </c>
      <c r="B65" s="592" t="str">
        <f>'DDR2 Strobes - 2x16'!$B$32</f>
        <v>AB16</v>
      </c>
      <c r="C65" s="586"/>
      <c r="D65" s="44"/>
      <c r="E65" s="67"/>
      <c r="F65" s="67"/>
      <c r="G65" s="395"/>
      <c r="H65" s="266"/>
      <c r="I65" s="266"/>
      <c r="J65" s="266"/>
      <c r="K65" s="266"/>
      <c r="L65" s="266"/>
      <c r="M65" s="266"/>
      <c r="N65" s="266"/>
      <c r="O65" s="266"/>
      <c r="P65" s="266"/>
      <c r="Q65" s="67"/>
      <c r="R65" s="48"/>
      <c r="S65" s="67"/>
      <c r="T65" s="48"/>
      <c r="U65" s="48" t="e">
        <f>'DDR2 Strobes - 2x16'!$U$32</f>
        <v>#REF!</v>
      </c>
      <c r="V65" s="48"/>
      <c r="W65" s="48"/>
      <c r="X65" s="48"/>
      <c r="Y65" s="542"/>
      <c r="Z65" s="48"/>
      <c r="AA65" s="67"/>
      <c r="AB65" s="48"/>
      <c r="AC65" s="48" t="e">
        <f>'DDR2 Strobes - 2x16'!$AC$32</f>
        <v>#REF!</v>
      </c>
      <c r="AD65" s="48"/>
      <c r="AE65" s="48"/>
      <c r="AF65" s="48"/>
      <c r="AG65" s="542"/>
      <c r="AH65" s="48"/>
      <c r="AI65" s="542"/>
      <c r="AJ65" s="542"/>
      <c r="AK65" s="542"/>
      <c r="AL65" s="542"/>
      <c r="AM65" s="542"/>
      <c r="AN65" s="542"/>
      <c r="AO65" s="542"/>
      <c r="AP65" s="542"/>
      <c r="AQ65" s="542"/>
      <c r="AR65" s="542"/>
      <c r="AS65" s="542"/>
      <c r="AT65" s="542"/>
      <c r="AU65" s="542"/>
      <c r="AV65" s="48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</row>
    <row r="66" spans="1:65" x14ac:dyDescent="0.2">
      <c r="A66" s="576" t="str">
        <f>'DDR2 Strobes - 2x16'!$A$33</f>
        <v>SA_DQS5#</v>
      </c>
      <c r="B66" s="592" t="str">
        <f>'DDR2 Strobes - 2x16'!$B$33</f>
        <v>AB15</v>
      </c>
      <c r="C66" s="586"/>
      <c r="D66" s="44"/>
      <c r="E66" s="67"/>
      <c r="F66" s="67"/>
      <c r="G66" s="395"/>
      <c r="H66" s="266"/>
      <c r="I66" s="266"/>
      <c r="J66" s="266"/>
      <c r="K66" s="266"/>
      <c r="L66" s="266"/>
      <c r="M66" s="266"/>
      <c r="N66" s="266"/>
      <c r="O66" s="266"/>
      <c r="P66" s="266"/>
      <c r="Q66" s="67"/>
      <c r="R66" s="48"/>
      <c r="S66" s="536"/>
      <c r="T66" s="537"/>
      <c r="U66" s="48" t="e">
        <f>'DDR2 Strobes - 2x16'!$U$33</f>
        <v>#REF!</v>
      </c>
      <c r="V66" s="48"/>
      <c r="W66" s="48"/>
      <c r="X66" s="48"/>
      <c r="Y66" s="542"/>
      <c r="Z66" s="48"/>
      <c r="AA66" s="536"/>
      <c r="AB66" s="537"/>
      <c r="AC66" s="48" t="e">
        <f>'DDR2 Strobes - 2x16'!$AC$33</f>
        <v>#REF!</v>
      </c>
      <c r="AD66" s="48"/>
      <c r="AE66" s="48"/>
      <c r="AF66" s="48"/>
      <c r="AG66" s="542"/>
      <c r="AH66" s="48"/>
      <c r="AI66" s="542"/>
      <c r="AJ66" s="542"/>
      <c r="AK66" s="543"/>
      <c r="AL66" s="543"/>
      <c r="AM66" s="543"/>
      <c r="AN66" s="543"/>
      <c r="AO66" s="543"/>
      <c r="AP66" s="543"/>
      <c r="AQ66" s="543"/>
      <c r="AR66" s="543"/>
      <c r="AS66" s="543"/>
      <c r="AT66" s="543"/>
      <c r="AU66" s="543"/>
      <c r="AV66" s="48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</row>
    <row r="67" spans="1:65" x14ac:dyDescent="0.2">
      <c r="A67" s="560" t="s">
        <v>213</v>
      </c>
      <c r="B67" s="589" t="s">
        <v>387</v>
      </c>
      <c r="C67" s="584">
        <v>714.1338582677165</v>
      </c>
      <c r="D67" s="16"/>
      <c r="E67" s="17">
        <v>22.63</v>
      </c>
      <c r="F67" s="17">
        <v>0</v>
      </c>
      <c r="G67">
        <v>1163</v>
      </c>
      <c r="H67">
        <v>827.1</v>
      </c>
      <c r="I67">
        <v>44.57</v>
      </c>
      <c r="J67" s="17">
        <v>40</v>
      </c>
      <c r="K67">
        <v>77.5</v>
      </c>
      <c r="L67">
        <v>1195.94</v>
      </c>
      <c r="M67" s="271">
        <v>0</v>
      </c>
      <c r="N67" s="271">
        <v>0</v>
      </c>
      <c r="O67">
        <v>65.849999999999994</v>
      </c>
      <c r="P67">
        <v>65.819999999999993</v>
      </c>
      <c r="Q67" s="58"/>
      <c r="R67" s="18"/>
      <c r="S67" s="441">
        <f t="shared" ref="S67:S75" si="110">SUM(E67:G67,H67:M67,O67)</f>
        <v>3436.59</v>
      </c>
      <c r="T67" s="441" t="e">
        <f>S67+IF($B$2="mil",1,0.0254)*$C67</f>
        <v>#REF!</v>
      </c>
      <c r="U67" s="441" t="e">
        <f>MAX(U$65:U$66)+IF($B$2="mil",1,0.0254)*DDR2Specs!$E$3</f>
        <v>#REF!</v>
      </c>
      <c r="V67" s="441" t="e">
        <f>MIN(U$65:U$66)+IF($B$2="mil",1,0.0254)*DDR2Specs!$F$3</f>
        <v>#REF!</v>
      </c>
      <c r="W67" s="18"/>
      <c r="X67" s="534" t="e">
        <f t="shared" ref="X67:X75" si="111">IF($T67&lt;$U67,$U67-$T67,"Pass")</f>
        <v>#REF!</v>
      </c>
      <c r="Y67" s="447" t="e">
        <f>IF($T67&gt;$V67,$T67-$V67,"Pass")</f>
        <v>#REF!</v>
      </c>
      <c r="Z67" s="18"/>
      <c r="AA67" s="441">
        <f t="shared" ref="AA67:AA75" si="112">SUM(E67:G67,H67:L67,N67,P67)</f>
        <v>3436.5600000000004</v>
      </c>
      <c r="AB67" s="441" t="e">
        <f>AA67+IF($B$2="mil",1,0.0254)*$C67</f>
        <v>#REF!</v>
      </c>
      <c r="AC67" s="441" t="e">
        <f>MAX(AC$65:AC$66)+IF($B$2="mil",1,0.0254)*DDR2Specs!$E$3</f>
        <v>#REF!</v>
      </c>
      <c r="AD67" s="441" t="e">
        <f>MIN(AC$65:AC$66)+IF($B$2="mil",1,0.0254)*DDR2Specs!$F$3</f>
        <v>#REF!</v>
      </c>
      <c r="AE67" s="18"/>
      <c r="AF67" s="534" t="e">
        <f>IF($AB67&lt;$AC67,$AC67-$AB67,"Pass")</f>
        <v>#REF!</v>
      </c>
      <c r="AG67" s="447" t="e">
        <f>IF($AB67&gt;$AD67,$AB67-$AD67,"Pass")</f>
        <v>#REF!</v>
      </c>
      <c r="AH67" s="18"/>
      <c r="AI67" s="447" t="e">
        <f t="shared" ref="AI67:AI75" si="113">IF($E67&lt;=IF($B$2="mil",1,0.0254)*50,"Pass",IF($B$2="mil",1,0.0254)*50-$E67)</f>
        <v>#REF!</v>
      </c>
      <c r="AJ67" s="447" t="e">
        <f t="shared" ref="AJ67:AJ75" si="114">IF($F67&lt;=IF($B$2="mil",1,0.0254)*500,"Pass",IF($B$2="mil",1,0.0254)*500-$F67)</f>
        <v>#REF!</v>
      </c>
      <c r="AK67" s="447" t="e">
        <f t="shared" ref="AK67:AK75" si="115">IF(($G67+$H67)&lt;=IF($B$2="mil",1,0.0254)*2750,"Pass",IF($B$2="mil",1,0.0254)*2750-($G67+D67))</f>
        <v>#REF!</v>
      </c>
      <c r="AL67" s="447" t="e">
        <f t="shared" ref="AL67:AL75" si="116">IF($I67&lt;=IF($B$2="mil",1,0.0254)*125,"Pass",IF($B$2="mil",1,0.0254)*125-$I67)</f>
        <v>#REF!</v>
      </c>
      <c r="AM67" s="447" t="e">
        <f t="shared" ref="AM67:AM75" si="117">IF($K67&lt;=IF($B$2="mil",1,0.0254)*125,"Pass",IF($B$2="mil",1,0.0254)*125-$K67)</f>
        <v>#REF!</v>
      </c>
      <c r="AN67" s="447" t="e">
        <f t="shared" ref="AN67:AN75" si="118">IF(($K67+$L67)&lt;=IF($B$2="mil",1,0.0254)*1350,"Pass",IF($B$2="mil",1,0.0254)*1350-($K67+L67))</f>
        <v>#REF!</v>
      </c>
      <c r="AO67" s="447" t="e">
        <f t="shared" ref="AO67:AO75" si="119">IF($M67&lt;=IF($B$2="mil",1,0.0254)*650,"Pass",IF($B$2="mil",1,0.0254)*650-$M67)</f>
        <v>#REF!</v>
      </c>
      <c r="AP67" s="447" t="e">
        <f t="shared" ref="AP67:AP75" si="120">IF($N67&lt;=IF($B$2="mil",1,0.0254)*650,"Pass",IF($B$2="mil",1,0.0254)*650-$N67)</f>
        <v>#REF!</v>
      </c>
      <c r="AQ67" s="445" t="e">
        <f t="shared" ref="AQ67:AQ75" si="121">IF(MAX(M67:N67)-MIN(M67:N67)&lt;=IF($B$2="mil",1,0.0254)*50,"Pass",MAX(M67:N67)-MIN(M67:N67)-IF($B$2="mil",1,0.0254)*50)</f>
        <v>#REF!</v>
      </c>
      <c r="AR67" s="447" t="e">
        <f t="shared" ref="AR67:AR75" ca="1" si="122">CheckLength2(IF($B$2="mil",1,0.0254)*800,$O67,M67,0)</f>
        <v>#NAME?</v>
      </c>
      <c r="AS67" s="447" t="e">
        <f t="shared" ref="AS67:AS75" ca="1" si="123">CheckLength2(IF($B$2="mil",1,0.0254)*800,$P67,N67,0)</f>
        <v>#NAME?</v>
      </c>
      <c r="AT67" s="447" t="e">
        <f t="shared" ref="AT67:AT75" si="124">IF(AND($S67&gt;=IF($B$2="mil",1,0.0254)*500, $S67&lt;=IF($B$2="mil",1,0.0254)*5500),"Pass",IF($B$2="mil",1,0.0254)*5500-$S67)</f>
        <v>#REF!</v>
      </c>
      <c r="AU67" s="447" t="e">
        <f t="shared" ref="AU67:AU75" si="125">IF(AND($T67&gt;=IF($B$2="mil",1,0.0254)*500, $T67&lt;=IF($B$2="mil",1,0.0254)*6000),"Pass",IF($B$2="mil",1,0.0254)*6000-$T67)</f>
        <v>#REF!</v>
      </c>
      <c r="AV67" s="18"/>
      <c r="AW67" s="82" t="e">
        <f ca="1">IF(AND(AF67="Pass",AG67="Pass",AI67="Pass",AJ67="Pass",AS67="Pass",AN67="Pass",AO67="Pass",AP67="Pass",AQ67="Pass",AR67="Pass",AM67="Pass",AL67="Pass",AK67="Pass",X67="Pass",Y67="Pass",AT67="Pass",AU67="Pass"),"Pass","Fail")</f>
        <v>#REF!</v>
      </c>
      <c r="AX67" s="2" t="e">
        <f ca="1">IF(AND(AW67="Pass",AW68="Pass",AW69="Pass",AW70="Pass",AW71="Pass",AW72="Pass",AW73="Pass",AW74="Pass",AW75="Pass"),"Pass","Fail")</f>
        <v>#REF!</v>
      </c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</row>
    <row r="68" spans="1:65" x14ac:dyDescent="0.2">
      <c r="A68" s="560" t="s">
        <v>214</v>
      </c>
      <c r="B68" s="593" t="s">
        <v>389</v>
      </c>
      <c r="C68" s="584">
        <v>754.9212598425197</v>
      </c>
      <c r="D68" s="16"/>
      <c r="E68" s="17">
        <v>22.63</v>
      </c>
      <c r="F68" s="17">
        <v>0</v>
      </c>
      <c r="G68">
        <v>1140</v>
      </c>
      <c r="H68">
        <v>767</v>
      </c>
      <c r="I68">
        <v>85.78</v>
      </c>
      <c r="J68" s="17">
        <v>40</v>
      </c>
      <c r="K68">
        <v>44.57</v>
      </c>
      <c r="L68">
        <v>1199.1400000000001</v>
      </c>
      <c r="M68" s="271">
        <v>0</v>
      </c>
      <c r="N68" s="271">
        <v>0</v>
      </c>
      <c r="O68">
        <v>97.27</v>
      </c>
      <c r="P68">
        <v>97.3</v>
      </c>
      <c r="Q68" s="58"/>
      <c r="R68" s="18"/>
      <c r="S68" s="441">
        <f t="shared" si="110"/>
        <v>3396.39</v>
      </c>
      <c r="T68" s="441" t="e">
        <f t="shared" ref="T68:T75" si="126">S68+IF($B$2="mil",1,0.0254)*$C68</f>
        <v>#REF!</v>
      </c>
      <c r="U68" s="441" t="e">
        <f>MAX(U$65:U$66)+IF($B$2="mil",1,0.0254)*DDR2Specs!$E$3</f>
        <v>#REF!</v>
      </c>
      <c r="V68" s="441" t="e">
        <f>MIN(U$65:U$66)+IF($B$2="mil",1,0.0254)*DDR2Specs!$F$3</f>
        <v>#REF!</v>
      </c>
      <c r="W68" s="18"/>
      <c r="X68" s="534" t="e">
        <f t="shared" si="111"/>
        <v>#REF!</v>
      </c>
      <c r="Y68" s="447" t="e">
        <f t="shared" ref="Y68:Y75" si="127">IF($T68&gt;$V68,$T68-$V68,"Pass")</f>
        <v>#REF!</v>
      </c>
      <c r="Z68" s="18"/>
      <c r="AA68" s="441">
        <f t="shared" si="112"/>
        <v>3396.42</v>
      </c>
      <c r="AB68" s="441" t="e">
        <f t="shared" ref="AB68:AB75" si="128">AA68+IF($B$2="mil",1,0.0254)*$C68</f>
        <v>#REF!</v>
      </c>
      <c r="AC68" s="441" t="e">
        <f>MAX(AC$65:AC$66)+IF($B$2="mil",1,0.0254)*DDR2Specs!$E$3</f>
        <v>#REF!</v>
      </c>
      <c r="AD68" s="441" t="e">
        <f>MIN(AC$65:AC$66)+IF($B$2="mil",1,0.0254)*DDR2Specs!$F$3</f>
        <v>#REF!</v>
      </c>
      <c r="AE68" s="18"/>
      <c r="AF68" s="534" t="e">
        <f t="shared" ref="AF68:AF75" si="129">IF($AB68&lt;$AC68,$AC68-$AB68,"Pass")</f>
        <v>#REF!</v>
      </c>
      <c r="AG68" s="447" t="e">
        <f t="shared" ref="AG68:AG75" si="130">IF($AB68&gt;$AD68,$AB68-$AD68,"Pass")</f>
        <v>#REF!</v>
      </c>
      <c r="AH68" s="18"/>
      <c r="AI68" s="447" t="e">
        <f t="shared" si="113"/>
        <v>#REF!</v>
      </c>
      <c r="AJ68" s="447" t="e">
        <f t="shared" si="114"/>
        <v>#REF!</v>
      </c>
      <c r="AK68" s="447" t="e">
        <f t="shared" si="115"/>
        <v>#REF!</v>
      </c>
      <c r="AL68" s="447" t="e">
        <f t="shared" si="116"/>
        <v>#REF!</v>
      </c>
      <c r="AM68" s="447" t="e">
        <f t="shared" si="117"/>
        <v>#REF!</v>
      </c>
      <c r="AN68" s="447" t="e">
        <f t="shared" si="118"/>
        <v>#REF!</v>
      </c>
      <c r="AO68" s="447" t="e">
        <f t="shared" si="119"/>
        <v>#REF!</v>
      </c>
      <c r="AP68" s="447" t="e">
        <f t="shared" si="120"/>
        <v>#REF!</v>
      </c>
      <c r="AQ68" s="445" t="e">
        <f t="shared" si="121"/>
        <v>#REF!</v>
      </c>
      <c r="AR68" s="447" t="e">
        <f t="shared" ca="1" si="122"/>
        <v>#NAME?</v>
      </c>
      <c r="AS68" s="447" t="e">
        <f t="shared" ca="1" si="123"/>
        <v>#NAME?</v>
      </c>
      <c r="AT68" s="447" t="e">
        <f t="shared" si="124"/>
        <v>#REF!</v>
      </c>
      <c r="AU68" s="447" t="e">
        <f t="shared" si="125"/>
        <v>#REF!</v>
      </c>
      <c r="AV68" s="18"/>
      <c r="AW68" s="82" t="e">
        <f t="shared" ref="AW68:AW75" ca="1" si="131">IF(AND(AF68="Pass",AG68="Pass",AI68="Pass",AJ68="Pass",AS68="Pass",AN68="Pass",AO68="Pass",AP68="Pass",AQ68="Pass",AR68="Pass",AM68="Pass",AL68="Pass",AK68="Pass",X68="Pass",Y68="Pass",AT68="Pass",AU68="Pass"),"Pass","Fail")</f>
        <v>#REF!</v>
      </c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</row>
    <row r="69" spans="1:65" x14ac:dyDescent="0.2">
      <c r="A69" s="560" t="s">
        <v>215</v>
      </c>
      <c r="B69" s="593" t="s">
        <v>531</v>
      </c>
      <c r="C69" s="584">
        <v>593.89763779527561</v>
      </c>
      <c r="D69" s="16"/>
      <c r="E69" s="17">
        <v>22.63</v>
      </c>
      <c r="F69" s="17">
        <v>0</v>
      </c>
      <c r="G69">
        <v>1324</v>
      </c>
      <c r="H69">
        <v>781</v>
      </c>
      <c r="I69">
        <v>85.78</v>
      </c>
      <c r="J69" s="17">
        <v>40</v>
      </c>
      <c r="K69">
        <v>44.57</v>
      </c>
      <c r="L69">
        <v>1227</v>
      </c>
      <c r="M69" s="271">
        <v>0</v>
      </c>
      <c r="N69" s="271">
        <v>0</v>
      </c>
      <c r="O69">
        <v>30.83</v>
      </c>
      <c r="P69">
        <v>30.86</v>
      </c>
      <c r="Q69" s="58"/>
      <c r="R69" s="18"/>
      <c r="S69" s="441">
        <f t="shared" si="110"/>
        <v>3555.8100000000004</v>
      </c>
      <c r="T69" s="441" t="e">
        <f t="shared" si="126"/>
        <v>#REF!</v>
      </c>
      <c r="U69" s="441" t="e">
        <f>MAX(U$65:U$66)+IF($B$2="mil",1,0.0254)*DDR2Specs!$E$3</f>
        <v>#REF!</v>
      </c>
      <c r="V69" s="441" t="e">
        <f>MIN(U$65:U$66)+IF($B$2="mil",1,0.0254)*DDR2Specs!$F$3</f>
        <v>#REF!</v>
      </c>
      <c r="W69" s="18"/>
      <c r="X69" s="534" t="e">
        <f t="shared" si="111"/>
        <v>#REF!</v>
      </c>
      <c r="Y69" s="447" t="e">
        <f t="shared" si="127"/>
        <v>#REF!</v>
      </c>
      <c r="Z69" s="18"/>
      <c r="AA69" s="441">
        <f t="shared" si="112"/>
        <v>3555.8400000000006</v>
      </c>
      <c r="AB69" s="441" t="e">
        <f t="shared" si="128"/>
        <v>#REF!</v>
      </c>
      <c r="AC69" s="441" t="e">
        <f>MAX(AC$65:AC$66)+IF($B$2="mil",1,0.0254)*DDR2Specs!$E$3</f>
        <v>#REF!</v>
      </c>
      <c r="AD69" s="441" t="e">
        <f>MIN(AC$65:AC$66)+IF($B$2="mil",1,0.0254)*DDR2Specs!$F$3</f>
        <v>#REF!</v>
      </c>
      <c r="AE69" s="18"/>
      <c r="AF69" s="534" t="e">
        <f t="shared" si="129"/>
        <v>#REF!</v>
      </c>
      <c r="AG69" s="447" t="e">
        <f t="shared" si="130"/>
        <v>#REF!</v>
      </c>
      <c r="AH69" s="18"/>
      <c r="AI69" s="447" t="e">
        <f t="shared" si="113"/>
        <v>#REF!</v>
      </c>
      <c r="AJ69" s="447" t="e">
        <f t="shared" si="114"/>
        <v>#REF!</v>
      </c>
      <c r="AK69" s="447" t="e">
        <f t="shared" si="115"/>
        <v>#REF!</v>
      </c>
      <c r="AL69" s="447" t="e">
        <f t="shared" si="116"/>
        <v>#REF!</v>
      </c>
      <c r="AM69" s="447" t="e">
        <f t="shared" si="117"/>
        <v>#REF!</v>
      </c>
      <c r="AN69" s="447" t="e">
        <f t="shared" si="118"/>
        <v>#REF!</v>
      </c>
      <c r="AO69" s="447" t="e">
        <f t="shared" si="119"/>
        <v>#REF!</v>
      </c>
      <c r="AP69" s="447" t="e">
        <f t="shared" si="120"/>
        <v>#REF!</v>
      </c>
      <c r="AQ69" s="445" t="e">
        <f t="shared" si="121"/>
        <v>#REF!</v>
      </c>
      <c r="AR69" s="447" t="e">
        <f t="shared" ca="1" si="122"/>
        <v>#NAME?</v>
      </c>
      <c r="AS69" s="447" t="e">
        <f t="shared" ca="1" si="123"/>
        <v>#NAME?</v>
      </c>
      <c r="AT69" s="447" t="e">
        <f t="shared" si="124"/>
        <v>#REF!</v>
      </c>
      <c r="AU69" s="447" t="e">
        <f t="shared" si="125"/>
        <v>#REF!</v>
      </c>
      <c r="AV69" s="18"/>
      <c r="AW69" s="82" t="e">
        <f t="shared" ca="1" si="131"/>
        <v>#REF!</v>
      </c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</row>
    <row r="70" spans="1:65" x14ac:dyDescent="0.2">
      <c r="A70" s="560" t="s">
        <v>216</v>
      </c>
      <c r="B70" s="589" t="s">
        <v>419</v>
      </c>
      <c r="C70" s="584">
        <v>626.37795275590554</v>
      </c>
      <c r="D70" s="16"/>
      <c r="E70" s="17">
        <v>22.63</v>
      </c>
      <c r="F70" s="17">
        <v>0</v>
      </c>
      <c r="G70">
        <v>1291</v>
      </c>
      <c r="H70">
        <v>825</v>
      </c>
      <c r="I70">
        <v>44.57</v>
      </c>
      <c r="J70" s="17">
        <v>40</v>
      </c>
      <c r="K70">
        <v>85.78</v>
      </c>
      <c r="L70">
        <v>1183.3</v>
      </c>
      <c r="M70" s="271">
        <v>0</v>
      </c>
      <c r="N70" s="271">
        <v>0</v>
      </c>
      <c r="O70">
        <v>31.57</v>
      </c>
      <c r="P70">
        <v>31.54</v>
      </c>
      <c r="Q70" s="58"/>
      <c r="R70" s="18"/>
      <c r="S70" s="441">
        <f t="shared" si="110"/>
        <v>3523.8500000000008</v>
      </c>
      <c r="T70" s="441" t="e">
        <f t="shared" si="126"/>
        <v>#REF!</v>
      </c>
      <c r="U70" s="441" t="e">
        <f>MAX(U$65:U$66)+IF($B$2="mil",1,0.0254)*DDR2Specs!$E$3</f>
        <v>#REF!</v>
      </c>
      <c r="V70" s="441" t="e">
        <f>MIN(U$65:U$66)+IF($B$2="mil",1,0.0254)*DDR2Specs!$F$3</f>
        <v>#REF!</v>
      </c>
      <c r="W70" s="18"/>
      <c r="X70" s="534" t="e">
        <f t="shared" si="111"/>
        <v>#REF!</v>
      </c>
      <c r="Y70" s="447" t="e">
        <f t="shared" si="127"/>
        <v>#REF!</v>
      </c>
      <c r="Z70" s="18"/>
      <c r="AA70" s="441">
        <f t="shared" si="112"/>
        <v>3523.8200000000006</v>
      </c>
      <c r="AB70" s="441" t="e">
        <f t="shared" si="128"/>
        <v>#REF!</v>
      </c>
      <c r="AC70" s="441" t="e">
        <f>MAX(AC$65:AC$66)+IF($B$2="mil",1,0.0254)*DDR2Specs!$E$3</f>
        <v>#REF!</v>
      </c>
      <c r="AD70" s="441" t="e">
        <f>MIN(AC$65:AC$66)+IF($B$2="mil",1,0.0254)*DDR2Specs!$F$3</f>
        <v>#REF!</v>
      </c>
      <c r="AE70" s="18"/>
      <c r="AF70" s="534" t="e">
        <f t="shared" si="129"/>
        <v>#REF!</v>
      </c>
      <c r="AG70" s="447" t="e">
        <f t="shared" si="130"/>
        <v>#REF!</v>
      </c>
      <c r="AH70" s="18"/>
      <c r="AI70" s="447" t="e">
        <f t="shared" si="113"/>
        <v>#REF!</v>
      </c>
      <c r="AJ70" s="447" t="e">
        <f t="shared" si="114"/>
        <v>#REF!</v>
      </c>
      <c r="AK70" s="447" t="e">
        <f t="shared" si="115"/>
        <v>#REF!</v>
      </c>
      <c r="AL70" s="447" t="e">
        <f t="shared" si="116"/>
        <v>#REF!</v>
      </c>
      <c r="AM70" s="447" t="e">
        <f t="shared" si="117"/>
        <v>#REF!</v>
      </c>
      <c r="AN70" s="447" t="e">
        <f t="shared" si="118"/>
        <v>#REF!</v>
      </c>
      <c r="AO70" s="447" t="e">
        <f t="shared" si="119"/>
        <v>#REF!</v>
      </c>
      <c r="AP70" s="447" t="e">
        <f t="shared" si="120"/>
        <v>#REF!</v>
      </c>
      <c r="AQ70" s="445" t="e">
        <f t="shared" si="121"/>
        <v>#REF!</v>
      </c>
      <c r="AR70" s="447" t="e">
        <f t="shared" ca="1" si="122"/>
        <v>#NAME?</v>
      </c>
      <c r="AS70" s="447" t="e">
        <f t="shared" ca="1" si="123"/>
        <v>#NAME?</v>
      </c>
      <c r="AT70" s="447" t="e">
        <f t="shared" si="124"/>
        <v>#REF!</v>
      </c>
      <c r="AU70" s="447" t="e">
        <f t="shared" si="125"/>
        <v>#REF!</v>
      </c>
      <c r="AV70" s="18"/>
      <c r="AW70" s="82" t="e">
        <f t="shared" ca="1" si="131"/>
        <v>#REF!</v>
      </c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</row>
    <row r="71" spans="1:65" x14ac:dyDescent="0.2">
      <c r="A71" s="560" t="s">
        <v>217</v>
      </c>
      <c r="B71" s="589" t="s">
        <v>532</v>
      </c>
      <c r="C71" s="584">
        <v>594.33070866141736</v>
      </c>
      <c r="D71" s="16"/>
      <c r="E71" s="17">
        <v>22.63</v>
      </c>
      <c r="F71" s="17">
        <v>0</v>
      </c>
      <c r="G71">
        <v>1335</v>
      </c>
      <c r="H71">
        <v>821</v>
      </c>
      <c r="I71">
        <v>44.57</v>
      </c>
      <c r="J71" s="17">
        <v>40</v>
      </c>
      <c r="K71">
        <v>92.41</v>
      </c>
      <c r="L71">
        <v>1149.32</v>
      </c>
      <c r="M71" s="271">
        <v>0</v>
      </c>
      <c r="N71" s="271">
        <v>0</v>
      </c>
      <c r="O71">
        <v>50.17</v>
      </c>
      <c r="P71">
        <v>50.2</v>
      </c>
      <c r="Q71" s="58"/>
      <c r="R71" s="18"/>
      <c r="S71" s="441">
        <f t="shared" si="110"/>
        <v>3555.1000000000004</v>
      </c>
      <c r="T71" s="441" t="e">
        <f t="shared" si="126"/>
        <v>#REF!</v>
      </c>
      <c r="U71" s="441" t="e">
        <f>MAX(U$65:U$66)+IF($B$2="mil",1,0.0254)*DDR2Specs!$E$3</f>
        <v>#REF!</v>
      </c>
      <c r="V71" s="441" t="e">
        <f>MIN(U$65:U$66)+IF($B$2="mil",1,0.0254)*DDR2Specs!$F$3</f>
        <v>#REF!</v>
      </c>
      <c r="W71" s="18"/>
      <c r="X71" s="534" t="e">
        <f t="shared" si="111"/>
        <v>#REF!</v>
      </c>
      <c r="Y71" s="447" t="e">
        <f t="shared" si="127"/>
        <v>#REF!</v>
      </c>
      <c r="Z71" s="18"/>
      <c r="AA71" s="441">
        <f t="shared" si="112"/>
        <v>3555.13</v>
      </c>
      <c r="AB71" s="441" t="e">
        <f t="shared" si="128"/>
        <v>#REF!</v>
      </c>
      <c r="AC71" s="441" t="e">
        <f>MAX(AC$65:AC$66)+IF($B$2="mil",1,0.0254)*DDR2Specs!$E$3</f>
        <v>#REF!</v>
      </c>
      <c r="AD71" s="441" t="e">
        <f>MIN(AC$65:AC$66)+IF($B$2="mil",1,0.0254)*DDR2Specs!$F$3</f>
        <v>#REF!</v>
      </c>
      <c r="AE71" s="18"/>
      <c r="AF71" s="534" t="e">
        <f t="shared" si="129"/>
        <v>#REF!</v>
      </c>
      <c r="AG71" s="447" t="e">
        <f t="shared" si="130"/>
        <v>#REF!</v>
      </c>
      <c r="AH71" s="18"/>
      <c r="AI71" s="447" t="e">
        <f t="shared" si="113"/>
        <v>#REF!</v>
      </c>
      <c r="AJ71" s="447" t="e">
        <f t="shared" si="114"/>
        <v>#REF!</v>
      </c>
      <c r="AK71" s="447" t="e">
        <f t="shared" si="115"/>
        <v>#REF!</v>
      </c>
      <c r="AL71" s="447" t="e">
        <f t="shared" si="116"/>
        <v>#REF!</v>
      </c>
      <c r="AM71" s="447" t="e">
        <f t="shared" si="117"/>
        <v>#REF!</v>
      </c>
      <c r="AN71" s="447" t="e">
        <f t="shared" si="118"/>
        <v>#REF!</v>
      </c>
      <c r="AO71" s="447" t="e">
        <f t="shared" si="119"/>
        <v>#REF!</v>
      </c>
      <c r="AP71" s="447" t="e">
        <f t="shared" si="120"/>
        <v>#REF!</v>
      </c>
      <c r="AQ71" s="445" t="e">
        <f t="shared" si="121"/>
        <v>#REF!</v>
      </c>
      <c r="AR71" s="447" t="e">
        <f t="shared" ca="1" si="122"/>
        <v>#NAME?</v>
      </c>
      <c r="AS71" s="447" t="e">
        <f t="shared" ca="1" si="123"/>
        <v>#NAME?</v>
      </c>
      <c r="AT71" s="447" t="e">
        <f t="shared" si="124"/>
        <v>#REF!</v>
      </c>
      <c r="AU71" s="447" t="e">
        <f t="shared" si="125"/>
        <v>#REF!</v>
      </c>
      <c r="AV71" s="18"/>
      <c r="AW71" s="82" t="e">
        <f t="shared" ca="1" si="131"/>
        <v>#REF!</v>
      </c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</row>
    <row r="72" spans="1:65" x14ac:dyDescent="0.2">
      <c r="A72" s="560" t="s">
        <v>218</v>
      </c>
      <c r="B72" s="589" t="s">
        <v>415</v>
      </c>
      <c r="C72" s="584">
        <v>587.95275590551182</v>
      </c>
      <c r="D72" s="16"/>
      <c r="E72" s="17">
        <v>22.63</v>
      </c>
      <c r="F72" s="17">
        <v>0</v>
      </c>
      <c r="G72">
        <v>1330</v>
      </c>
      <c r="H72">
        <v>790</v>
      </c>
      <c r="I72">
        <v>85.78</v>
      </c>
      <c r="J72" s="17">
        <v>40</v>
      </c>
      <c r="K72">
        <v>44.57</v>
      </c>
      <c r="L72">
        <v>1226.07</v>
      </c>
      <c r="M72" s="271">
        <v>0</v>
      </c>
      <c r="N72" s="271">
        <v>0</v>
      </c>
      <c r="O72">
        <v>22.24</v>
      </c>
      <c r="P72">
        <v>22.29</v>
      </c>
      <c r="Q72" s="58"/>
      <c r="R72" s="18"/>
      <c r="S72" s="441">
        <f t="shared" si="110"/>
        <v>3561.29</v>
      </c>
      <c r="T72" s="441" t="e">
        <f t="shared" si="126"/>
        <v>#REF!</v>
      </c>
      <c r="U72" s="441" t="e">
        <f>MAX(U$65:U$66)+IF($B$2="mil",1,0.0254)*DDR2Specs!$E$3</f>
        <v>#REF!</v>
      </c>
      <c r="V72" s="441" t="e">
        <f>MIN(U$65:U$66)+IF($B$2="mil",1,0.0254)*DDR2Specs!$F$3</f>
        <v>#REF!</v>
      </c>
      <c r="W72" s="18"/>
      <c r="X72" s="534" t="e">
        <f t="shared" si="111"/>
        <v>#REF!</v>
      </c>
      <c r="Y72" s="447" t="e">
        <f t="shared" si="127"/>
        <v>#REF!</v>
      </c>
      <c r="Z72" s="18"/>
      <c r="AA72" s="441">
        <f t="shared" si="112"/>
        <v>3561.34</v>
      </c>
      <c r="AB72" s="441" t="e">
        <f t="shared" si="128"/>
        <v>#REF!</v>
      </c>
      <c r="AC72" s="441" t="e">
        <f>MAX(AC$65:AC$66)+IF($B$2="mil",1,0.0254)*DDR2Specs!$E$3</f>
        <v>#REF!</v>
      </c>
      <c r="AD72" s="441" t="e">
        <f>MIN(AC$65:AC$66)+IF($B$2="mil",1,0.0254)*DDR2Specs!$F$3</f>
        <v>#REF!</v>
      </c>
      <c r="AE72" s="18"/>
      <c r="AF72" s="534" t="e">
        <f t="shared" si="129"/>
        <v>#REF!</v>
      </c>
      <c r="AG72" s="447" t="e">
        <f t="shared" si="130"/>
        <v>#REF!</v>
      </c>
      <c r="AH72" s="18"/>
      <c r="AI72" s="447" t="e">
        <f t="shared" si="113"/>
        <v>#REF!</v>
      </c>
      <c r="AJ72" s="447" t="e">
        <f t="shared" si="114"/>
        <v>#REF!</v>
      </c>
      <c r="AK72" s="447" t="e">
        <f t="shared" si="115"/>
        <v>#REF!</v>
      </c>
      <c r="AL72" s="447" t="e">
        <f t="shared" si="116"/>
        <v>#REF!</v>
      </c>
      <c r="AM72" s="447" t="e">
        <f t="shared" si="117"/>
        <v>#REF!</v>
      </c>
      <c r="AN72" s="447" t="e">
        <f t="shared" si="118"/>
        <v>#REF!</v>
      </c>
      <c r="AO72" s="447" t="e">
        <f t="shared" si="119"/>
        <v>#REF!</v>
      </c>
      <c r="AP72" s="447" t="e">
        <f t="shared" si="120"/>
        <v>#REF!</v>
      </c>
      <c r="AQ72" s="445" t="e">
        <f t="shared" si="121"/>
        <v>#REF!</v>
      </c>
      <c r="AR72" s="447" t="e">
        <f t="shared" ca="1" si="122"/>
        <v>#NAME?</v>
      </c>
      <c r="AS72" s="447" t="e">
        <f t="shared" ca="1" si="123"/>
        <v>#NAME?</v>
      </c>
      <c r="AT72" s="447" t="e">
        <f t="shared" si="124"/>
        <v>#REF!</v>
      </c>
      <c r="AU72" s="447" t="e">
        <f t="shared" si="125"/>
        <v>#REF!</v>
      </c>
      <c r="AV72" s="18"/>
      <c r="AW72" s="82" t="e">
        <f t="shared" ca="1" si="131"/>
        <v>#REF!</v>
      </c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</row>
    <row r="73" spans="1:65" x14ac:dyDescent="0.2">
      <c r="A73" s="560" t="s">
        <v>219</v>
      </c>
      <c r="B73" s="589" t="s">
        <v>420</v>
      </c>
      <c r="C73" s="584">
        <v>692.79527559055123</v>
      </c>
      <c r="D73" s="16"/>
      <c r="E73" s="17">
        <v>22.63</v>
      </c>
      <c r="F73" s="17">
        <v>0</v>
      </c>
      <c r="G73">
        <v>1240</v>
      </c>
      <c r="H73">
        <v>785</v>
      </c>
      <c r="I73">
        <v>94.07</v>
      </c>
      <c r="J73" s="17">
        <v>40</v>
      </c>
      <c r="K73">
        <v>90.75</v>
      </c>
      <c r="L73">
        <v>1120.94</v>
      </c>
      <c r="M73" s="271">
        <v>0</v>
      </c>
      <c r="N73" s="271">
        <v>0</v>
      </c>
      <c r="O73">
        <v>64.260000000000005</v>
      </c>
      <c r="P73">
        <v>64.3</v>
      </c>
      <c r="Q73" s="58"/>
      <c r="R73" s="18"/>
      <c r="S73" s="441">
        <f t="shared" si="110"/>
        <v>3457.6500000000005</v>
      </c>
      <c r="T73" s="441" t="e">
        <f t="shared" si="126"/>
        <v>#REF!</v>
      </c>
      <c r="U73" s="441" t="e">
        <f>MAX(U$65:U$66)+IF($B$2="mil",1,0.0254)*DDR2Specs!$E$3</f>
        <v>#REF!</v>
      </c>
      <c r="V73" s="441" t="e">
        <f>MIN(U$65:U$66)+IF($B$2="mil",1,0.0254)*DDR2Specs!$F$3</f>
        <v>#REF!</v>
      </c>
      <c r="W73" s="18"/>
      <c r="X73" s="534" t="e">
        <f t="shared" si="111"/>
        <v>#REF!</v>
      </c>
      <c r="Y73" s="447" t="e">
        <f t="shared" si="127"/>
        <v>#REF!</v>
      </c>
      <c r="Z73" s="18"/>
      <c r="AA73" s="441">
        <f t="shared" si="112"/>
        <v>3457.6900000000005</v>
      </c>
      <c r="AB73" s="441" t="e">
        <f t="shared" si="128"/>
        <v>#REF!</v>
      </c>
      <c r="AC73" s="441" t="e">
        <f>MAX(AC$65:AC$66)+IF($B$2="mil",1,0.0254)*DDR2Specs!$E$3</f>
        <v>#REF!</v>
      </c>
      <c r="AD73" s="441" t="e">
        <f>MIN(AC$65:AC$66)+IF($B$2="mil",1,0.0254)*DDR2Specs!$F$3</f>
        <v>#REF!</v>
      </c>
      <c r="AE73" s="18"/>
      <c r="AF73" s="534" t="e">
        <f t="shared" si="129"/>
        <v>#REF!</v>
      </c>
      <c r="AG73" s="447" t="e">
        <f t="shared" si="130"/>
        <v>#REF!</v>
      </c>
      <c r="AH73" s="18"/>
      <c r="AI73" s="447" t="e">
        <f t="shared" si="113"/>
        <v>#REF!</v>
      </c>
      <c r="AJ73" s="447" t="e">
        <f t="shared" si="114"/>
        <v>#REF!</v>
      </c>
      <c r="AK73" s="447" t="e">
        <f t="shared" si="115"/>
        <v>#REF!</v>
      </c>
      <c r="AL73" s="447" t="e">
        <f t="shared" si="116"/>
        <v>#REF!</v>
      </c>
      <c r="AM73" s="447" t="e">
        <f t="shared" si="117"/>
        <v>#REF!</v>
      </c>
      <c r="AN73" s="447" t="e">
        <f t="shared" si="118"/>
        <v>#REF!</v>
      </c>
      <c r="AO73" s="447" t="e">
        <f t="shared" si="119"/>
        <v>#REF!</v>
      </c>
      <c r="AP73" s="447" t="e">
        <f t="shared" si="120"/>
        <v>#REF!</v>
      </c>
      <c r="AQ73" s="445" t="e">
        <f t="shared" si="121"/>
        <v>#REF!</v>
      </c>
      <c r="AR73" s="447" t="e">
        <f t="shared" ca="1" si="122"/>
        <v>#NAME?</v>
      </c>
      <c r="AS73" s="447" t="e">
        <f t="shared" ca="1" si="123"/>
        <v>#NAME?</v>
      </c>
      <c r="AT73" s="447" t="e">
        <f t="shared" si="124"/>
        <v>#REF!</v>
      </c>
      <c r="AU73" s="447" t="e">
        <f t="shared" si="125"/>
        <v>#REF!</v>
      </c>
      <c r="AV73" s="18"/>
      <c r="AW73" s="82" t="e">
        <f t="shared" ca="1" si="131"/>
        <v>#REF!</v>
      </c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</row>
    <row r="74" spans="1:65" x14ac:dyDescent="0.2">
      <c r="A74" s="560" t="s">
        <v>220</v>
      </c>
      <c r="B74" s="589" t="s">
        <v>533</v>
      </c>
      <c r="C74" s="584">
        <v>671.29921259842513</v>
      </c>
      <c r="D74" s="16"/>
      <c r="E74" s="17">
        <v>22.63</v>
      </c>
      <c r="F74" s="17">
        <v>0</v>
      </c>
      <c r="G74">
        <v>1240</v>
      </c>
      <c r="H74">
        <v>810.56</v>
      </c>
      <c r="I74">
        <v>32.5</v>
      </c>
      <c r="J74" s="17">
        <v>40</v>
      </c>
      <c r="K74">
        <v>85.78</v>
      </c>
      <c r="L74">
        <v>1131.05</v>
      </c>
      <c r="M74" s="271">
        <v>0</v>
      </c>
      <c r="N74" s="271">
        <v>0</v>
      </c>
      <c r="O74">
        <v>116.74</v>
      </c>
      <c r="P74">
        <v>116.71</v>
      </c>
      <c r="Q74" s="58"/>
      <c r="R74" s="18"/>
      <c r="S74" s="441">
        <f t="shared" si="110"/>
        <v>3479.26</v>
      </c>
      <c r="T74" s="441" t="e">
        <f t="shared" si="126"/>
        <v>#REF!</v>
      </c>
      <c r="U74" s="441" t="e">
        <f>MAX(U$65:U$66)+IF($B$2="mil",1,0.0254)*DDR2Specs!$E$3</f>
        <v>#REF!</v>
      </c>
      <c r="V74" s="441" t="e">
        <f>MIN(U$65:U$66)+IF($B$2="mil",1,0.0254)*DDR2Specs!$F$3</f>
        <v>#REF!</v>
      </c>
      <c r="W74" s="18"/>
      <c r="X74" s="534" t="e">
        <f t="shared" si="111"/>
        <v>#REF!</v>
      </c>
      <c r="Y74" s="447" t="e">
        <f t="shared" si="127"/>
        <v>#REF!</v>
      </c>
      <c r="Z74" s="18"/>
      <c r="AA74" s="441">
        <f t="shared" si="112"/>
        <v>3479.2300000000005</v>
      </c>
      <c r="AB74" s="441" t="e">
        <f t="shared" si="128"/>
        <v>#REF!</v>
      </c>
      <c r="AC74" s="441" t="e">
        <f>MAX(AC$65:AC$66)+IF($B$2="mil",1,0.0254)*DDR2Specs!$E$3</f>
        <v>#REF!</v>
      </c>
      <c r="AD74" s="441" t="e">
        <f>MIN(AC$65:AC$66)+IF($B$2="mil",1,0.0254)*DDR2Specs!$F$3</f>
        <v>#REF!</v>
      </c>
      <c r="AE74" s="18"/>
      <c r="AF74" s="534" t="e">
        <f t="shared" si="129"/>
        <v>#REF!</v>
      </c>
      <c r="AG74" s="447" t="e">
        <f t="shared" si="130"/>
        <v>#REF!</v>
      </c>
      <c r="AH74" s="18"/>
      <c r="AI74" s="447" t="e">
        <f t="shared" si="113"/>
        <v>#REF!</v>
      </c>
      <c r="AJ74" s="447" t="e">
        <f t="shared" si="114"/>
        <v>#REF!</v>
      </c>
      <c r="AK74" s="447" t="e">
        <f t="shared" si="115"/>
        <v>#REF!</v>
      </c>
      <c r="AL74" s="447" t="e">
        <f t="shared" si="116"/>
        <v>#REF!</v>
      </c>
      <c r="AM74" s="447" t="e">
        <f t="shared" si="117"/>
        <v>#REF!</v>
      </c>
      <c r="AN74" s="447" t="e">
        <f t="shared" si="118"/>
        <v>#REF!</v>
      </c>
      <c r="AO74" s="447" t="e">
        <f t="shared" si="119"/>
        <v>#REF!</v>
      </c>
      <c r="AP74" s="447" t="e">
        <f t="shared" si="120"/>
        <v>#REF!</v>
      </c>
      <c r="AQ74" s="445" t="e">
        <f t="shared" si="121"/>
        <v>#REF!</v>
      </c>
      <c r="AR74" s="447" t="e">
        <f t="shared" ca="1" si="122"/>
        <v>#NAME?</v>
      </c>
      <c r="AS74" s="447" t="e">
        <f t="shared" ca="1" si="123"/>
        <v>#NAME?</v>
      </c>
      <c r="AT74" s="447" t="e">
        <f t="shared" si="124"/>
        <v>#REF!</v>
      </c>
      <c r="AU74" s="447" t="e">
        <f t="shared" si="125"/>
        <v>#REF!</v>
      </c>
      <c r="AV74" s="18"/>
      <c r="AW74" s="82" t="e">
        <f t="shared" ca="1" si="131"/>
        <v>#REF!</v>
      </c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</row>
    <row r="75" spans="1:65" x14ac:dyDescent="0.2">
      <c r="A75" s="560" t="s">
        <v>221</v>
      </c>
      <c r="B75" s="590" t="s">
        <v>393</v>
      </c>
      <c r="C75" s="584">
        <v>583.81889763779532</v>
      </c>
      <c r="D75" s="16"/>
      <c r="E75" s="17">
        <v>22.63</v>
      </c>
      <c r="F75" s="17">
        <v>0</v>
      </c>
      <c r="G75">
        <v>1327</v>
      </c>
      <c r="H75">
        <v>792</v>
      </c>
      <c r="I75">
        <v>44.57</v>
      </c>
      <c r="J75" s="17">
        <v>40</v>
      </c>
      <c r="K75">
        <v>85.78</v>
      </c>
      <c r="L75">
        <v>1180.97</v>
      </c>
      <c r="M75" s="271">
        <v>0</v>
      </c>
      <c r="N75" s="271">
        <v>0</v>
      </c>
      <c r="O75">
        <v>69.45</v>
      </c>
      <c r="P75">
        <v>72.95</v>
      </c>
      <c r="Q75" s="58"/>
      <c r="R75" s="18"/>
      <c r="S75" s="441">
        <f t="shared" si="110"/>
        <v>3562.4000000000005</v>
      </c>
      <c r="T75" s="441" t="e">
        <f t="shared" si="126"/>
        <v>#REF!</v>
      </c>
      <c r="U75" s="441" t="e">
        <f>MAX(U$65:U$66)+IF($B$2="mil",1,0.0254)*DDR2Specs!$E$3</f>
        <v>#REF!</v>
      </c>
      <c r="V75" s="441" t="e">
        <f>MIN(U$65:U$66)+IF($B$2="mil",1,0.0254)*DDR2Specs!$F$3</f>
        <v>#REF!</v>
      </c>
      <c r="W75" s="18"/>
      <c r="X75" s="534" t="e">
        <f t="shared" si="111"/>
        <v>#REF!</v>
      </c>
      <c r="Y75" s="447" t="e">
        <f t="shared" si="127"/>
        <v>#REF!</v>
      </c>
      <c r="Z75" s="18"/>
      <c r="AA75" s="441">
        <f t="shared" si="112"/>
        <v>3565.9000000000005</v>
      </c>
      <c r="AB75" s="441" t="e">
        <f t="shared" si="128"/>
        <v>#REF!</v>
      </c>
      <c r="AC75" s="441" t="e">
        <f>MAX(AC$65:AC$66)+IF($B$2="mil",1,0.0254)*DDR2Specs!$E$3</f>
        <v>#REF!</v>
      </c>
      <c r="AD75" s="441" t="e">
        <f>MIN(AC$65:AC$66)+IF($B$2="mil",1,0.0254)*DDR2Specs!$F$3</f>
        <v>#REF!</v>
      </c>
      <c r="AE75" s="18"/>
      <c r="AF75" s="534" t="e">
        <f t="shared" si="129"/>
        <v>#REF!</v>
      </c>
      <c r="AG75" s="447" t="e">
        <f t="shared" si="130"/>
        <v>#REF!</v>
      </c>
      <c r="AH75" s="18"/>
      <c r="AI75" s="447" t="e">
        <f t="shared" si="113"/>
        <v>#REF!</v>
      </c>
      <c r="AJ75" s="447" t="e">
        <f t="shared" si="114"/>
        <v>#REF!</v>
      </c>
      <c r="AK75" s="447" t="e">
        <f t="shared" si="115"/>
        <v>#REF!</v>
      </c>
      <c r="AL75" s="447" t="e">
        <f t="shared" si="116"/>
        <v>#REF!</v>
      </c>
      <c r="AM75" s="447" t="e">
        <f t="shared" si="117"/>
        <v>#REF!</v>
      </c>
      <c r="AN75" s="447" t="e">
        <f t="shared" si="118"/>
        <v>#REF!</v>
      </c>
      <c r="AO75" s="447" t="e">
        <f t="shared" si="119"/>
        <v>#REF!</v>
      </c>
      <c r="AP75" s="447" t="e">
        <f t="shared" si="120"/>
        <v>#REF!</v>
      </c>
      <c r="AQ75" s="445" t="e">
        <f t="shared" si="121"/>
        <v>#REF!</v>
      </c>
      <c r="AR75" s="447" t="e">
        <f t="shared" ca="1" si="122"/>
        <v>#NAME?</v>
      </c>
      <c r="AS75" s="447" t="e">
        <f t="shared" ca="1" si="123"/>
        <v>#NAME?</v>
      </c>
      <c r="AT75" s="447" t="e">
        <f t="shared" si="124"/>
        <v>#REF!</v>
      </c>
      <c r="AU75" s="447" t="e">
        <f t="shared" si="125"/>
        <v>#REF!</v>
      </c>
      <c r="AV75" s="18"/>
      <c r="AW75" s="82" t="e">
        <f t="shared" ca="1" si="131"/>
        <v>#REF!</v>
      </c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</row>
    <row r="76" spans="1:65" x14ac:dyDescent="0.2">
      <c r="A76" s="563" t="s">
        <v>251</v>
      </c>
      <c r="B76" s="591"/>
      <c r="C76" s="585"/>
      <c r="D76" s="51"/>
      <c r="E76" s="68"/>
      <c r="F76" s="68"/>
      <c r="G76" s="394"/>
      <c r="H76" s="265"/>
      <c r="I76" s="265"/>
      <c r="J76" s="265"/>
      <c r="K76" s="265"/>
      <c r="L76" s="265"/>
      <c r="M76" s="265"/>
      <c r="N76" s="265"/>
      <c r="O76" s="265"/>
      <c r="P76" s="265"/>
      <c r="Q76" s="8"/>
      <c r="R76" s="540"/>
      <c r="S76" s="68"/>
      <c r="T76" s="539"/>
      <c r="U76" s="539"/>
      <c r="V76" s="540"/>
      <c r="W76" s="540"/>
      <c r="X76" s="541"/>
      <c r="Y76" s="15"/>
      <c r="Z76" s="540"/>
      <c r="AA76" s="68"/>
      <c r="AB76" s="539"/>
      <c r="AC76" s="539"/>
      <c r="AD76" s="540"/>
      <c r="AE76" s="540"/>
      <c r="AF76" s="541"/>
      <c r="AG76" s="15"/>
      <c r="AH76" s="540"/>
      <c r="AI76" s="15"/>
      <c r="AJ76" s="15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69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</row>
    <row r="77" spans="1:65" x14ac:dyDescent="0.2">
      <c r="A77" s="576" t="str">
        <f>'DDR2 Strobes - 2x16'!$A$37</f>
        <v>SA_DQS6</v>
      </c>
      <c r="B77" s="592" t="str">
        <f>'DDR2 Strobes - 2x16'!$B$37</f>
        <v>AB14</v>
      </c>
      <c r="C77" s="586"/>
      <c r="D77" s="44"/>
      <c r="E77" s="67"/>
      <c r="F77" s="67"/>
      <c r="G77" s="395"/>
      <c r="H77" s="266"/>
      <c r="I77" s="266"/>
      <c r="J77" s="266"/>
      <c r="K77" s="266"/>
      <c r="L77" s="266"/>
      <c r="M77" s="266"/>
      <c r="N77" s="266"/>
      <c r="O77" s="266"/>
      <c r="P77" s="266"/>
      <c r="Q77" s="67"/>
      <c r="R77" s="48"/>
      <c r="S77" s="67"/>
      <c r="T77" s="48"/>
      <c r="U77" s="48" t="e">
        <f>'DDR2 Strobes - 2x16'!$U$37</f>
        <v>#REF!</v>
      </c>
      <c r="V77" s="48"/>
      <c r="W77" s="48"/>
      <c r="X77" s="48"/>
      <c r="Y77" s="542"/>
      <c r="Z77" s="48"/>
      <c r="AA77" s="67"/>
      <c r="AB77" s="48"/>
      <c r="AC77" s="48" t="e">
        <f>'DDR2 Strobes - 2x16'!$AC$37</f>
        <v>#REF!</v>
      </c>
      <c r="AD77" s="48"/>
      <c r="AE77" s="48"/>
      <c r="AF77" s="48"/>
      <c r="AG77" s="542"/>
      <c r="AH77" s="48"/>
      <c r="AI77" s="542"/>
      <c r="AJ77" s="542"/>
      <c r="AK77" s="542"/>
      <c r="AL77" s="542"/>
      <c r="AM77" s="542"/>
      <c r="AN77" s="542"/>
      <c r="AO77" s="542"/>
      <c r="AP77" s="542"/>
      <c r="AQ77" s="542"/>
      <c r="AR77" s="542"/>
      <c r="AS77" s="542"/>
      <c r="AT77" s="542"/>
      <c r="AU77" s="542"/>
      <c r="AV77" s="48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</row>
    <row r="78" spans="1:65" x14ac:dyDescent="0.2">
      <c r="A78" s="576" t="str">
        <f>'DDR2 Strobes - 2x16'!$A$38</f>
        <v>SA_DQS6#</v>
      </c>
      <c r="B78" s="592" t="str">
        <f>'DDR2 Strobes - 2x16'!$B$38</f>
        <v>AB13</v>
      </c>
      <c r="C78" s="586"/>
      <c r="D78" s="44"/>
      <c r="E78" s="67"/>
      <c r="F78" s="67"/>
      <c r="G78" s="395"/>
      <c r="H78" s="266"/>
      <c r="I78" s="266"/>
      <c r="J78" s="266"/>
      <c r="K78" s="266"/>
      <c r="L78" s="266"/>
      <c r="M78" s="266"/>
      <c r="N78" s="266"/>
      <c r="O78" s="266"/>
      <c r="P78" s="266"/>
      <c r="Q78" s="67"/>
      <c r="R78" s="48"/>
      <c r="S78" s="536"/>
      <c r="T78" s="537"/>
      <c r="U78" s="48" t="e">
        <f>'DDR2 Strobes - 2x16'!$U$38</f>
        <v>#REF!</v>
      </c>
      <c r="V78" s="48"/>
      <c r="W78" s="48"/>
      <c r="X78" s="48"/>
      <c r="Y78" s="542"/>
      <c r="Z78" s="48"/>
      <c r="AA78" s="536"/>
      <c r="AB78" s="537"/>
      <c r="AC78" s="48" t="e">
        <f>'DDR2 Strobes - 2x16'!$AC$38</f>
        <v>#REF!</v>
      </c>
      <c r="AD78" s="48"/>
      <c r="AE78" s="48"/>
      <c r="AF78" s="48"/>
      <c r="AG78" s="542"/>
      <c r="AH78" s="48"/>
      <c r="AI78" s="542"/>
      <c r="AJ78" s="542"/>
      <c r="AK78" s="543"/>
      <c r="AL78" s="543"/>
      <c r="AM78" s="543"/>
      <c r="AN78" s="543"/>
      <c r="AO78" s="543"/>
      <c r="AP78" s="543"/>
      <c r="AQ78" s="543"/>
      <c r="AR78" s="543"/>
      <c r="AS78" s="543"/>
      <c r="AT78" s="543"/>
      <c r="AU78" s="543"/>
      <c r="AV78" s="48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</row>
    <row r="79" spans="1:65" x14ac:dyDescent="0.2">
      <c r="A79" s="560" t="s">
        <v>222</v>
      </c>
      <c r="B79" s="595" t="s">
        <v>534</v>
      </c>
      <c r="C79" s="584">
        <v>846.81102362204729</v>
      </c>
      <c r="D79" s="16"/>
      <c r="E79" s="17">
        <v>22.63</v>
      </c>
      <c r="F79" s="17">
        <v>0</v>
      </c>
      <c r="G79">
        <v>1285.47</v>
      </c>
      <c r="H79">
        <v>780.87</v>
      </c>
      <c r="I79">
        <v>85.78</v>
      </c>
      <c r="J79" s="17">
        <v>40</v>
      </c>
      <c r="K79">
        <v>44.57</v>
      </c>
      <c r="L79">
        <v>1229.31</v>
      </c>
      <c r="M79" s="271">
        <v>0</v>
      </c>
      <c r="N79" s="271">
        <v>0</v>
      </c>
      <c r="O79">
        <v>22.29</v>
      </c>
      <c r="P79">
        <v>22.26</v>
      </c>
      <c r="Q79" s="58"/>
      <c r="R79" s="18"/>
      <c r="S79" s="441">
        <f t="shared" ref="S79:S87" si="132">SUM(E79:G79,H79:M79,O79)</f>
        <v>3510.9200000000005</v>
      </c>
      <c r="T79" s="441" t="e">
        <f>S79+IF($B$2="mil",1,0.0254)*$C79</f>
        <v>#REF!</v>
      </c>
      <c r="U79" s="441" t="e">
        <f>MAX(U$77:U$78)+IF($B$2="mil",1,0.0254)*DDR2Specs!$E$3</f>
        <v>#REF!</v>
      </c>
      <c r="V79" s="441" t="e">
        <f>MIN(U$77:U$78)+IF($B$2="mil",1,0.0254)*DDR2Specs!$F$3</f>
        <v>#REF!</v>
      </c>
      <c r="W79" s="18"/>
      <c r="X79" s="534" t="e">
        <f t="shared" ref="X79:X87" si="133">IF($T79&lt;$U79,$U79-$T79,"Pass")</f>
        <v>#REF!</v>
      </c>
      <c r="Y79" s="447" t="e">
        <f t="shared" ref="Y79:Y87" si="134">IF($T79&gt;$V79,$T79-$V79,"Pass")</f>
        <v>#REF!</v>
      </c>
      <c r="Z79" s="18"/>
      <c r="AA79" s="441">
        <f t="shared" ref="AA79:AA87" si="135">SUM(E79:G79,H79:L79,N79,P79)</f>
        <v>3510.8900000000008</v>
      </c>
      <c r="AB79" s="441" t="e">
        <f>AA79+IF($B$2="mil",1,0.0254)*$C79</f>
        <v>#REF!</v>
      </c>
      <c r="AC79" s="441" t="e">
        <f>MAX(AC$77:AC$78)+IF($B$2="mil",1,0.0254)*DDR2Specs!$E$3</f>
        <v>#REF!</v>
      </c>
      <c r="AD79" s="441" t="e">
        <f>MIN(AC$77:AC$78)+IF($B$2="mil",1,0.0254)*DDR2Specs!$F$3</f>
        <v>#REF!</v>
      </c>
      <c r="AE79" s="18"/>
      <c r="AF79" s="534" t="e">
        <f>IF($AB79&lt;$AC79,$AC79-$AB79,"Pass")</f>
        <v>#REF!</v>
      </c>
      <c r="AG79" s="447" t="e">
        <f>IF($AB79&gt;$AD79,$AB79-$AD79,"Pass")</f>
        <v>#REF!</v>
      </c>
      <c r="AH79" s="18"/>
      <c r="AI79" s="447" t="e">
        <f t="shared" ref="AI79:AI87" si="136">IF($E79&lt;=IF($B$2="mil",1,0.0254)*50,"Pass",IF($B$2="mil",1,0.0254)*50-$E79)</f>
        <v>#REF!</v>
      </c>
      <c r="AJ79" s="447" t="e">
        <f t="shared" ref="AJ79:AJ87" si="137">IF($F79&lt;=IF($B$2="mil",1,0.0254)*500,"Pass",IF($B$2="mil",1,0.0254)*500-$F79)</f>
        <v>#REF!</v>
      </c>
      <c r="AK79" s="447" t="e">
        <f t="shared" ref="AK79:AK87" si="138">IF(($G79+$H79)&lt;=IF($B$2="mil",1,0.0254)*2750,"Pass",IF($B$2="mil",1,0.0254)*2750-($G79+D79))</f>
        <v>#REF!</v>
      </c>
      <c r="AL79" s="447" t="e">
        <f t="shared" ref="AL79:AL87" si="139">IF($I79&lt;=IF($B$2="mil",1,0.0254)*125,"Pass",IF($B$2="mil",1,0.0254)*125-$I79)</f>
        <v>#REF!</v>
      </c>
      <c r="AM79" s="447" t="e">
        <f t="shared" ref="AM79:AM87" si="140">IF($K79&lt;=IF($B$2="mil",1,0.0254)*125,"Pass",IF($B$2="mil",1,0.0254)*125-$K79)</f>
        <v>#REF!</v>
      </c>
      <c r="AN79" s="447" t="e">
        <f t="shared" ref="AN79:AN87" si="141">IF(($K79+$L79)&lt;=IF($B$2="mil",1,0.0254)*1350,"Pass",IF($B$2="mil",1,0.0254)*1350-($K79+L79))</f>
        <v>#REF!</v>
      </c>
      <c r="AO79" s="447" t="e">
        <f t="shared" ref="AO79:AO87" si="142">IF($M79&lt;=IF($B$2="mil",1,0.0254)*650,"Pass",IF($B$2="mil",1,0.0254)*650-$M79)</f>
        <v>#REF!</v>
      </c>
      <c r="AP79" s="447" t="e">
        <f t="shared" ref="AP79:AP87" si="143">IF($N79&lt;=IF($B$2="mil",1,0.0254)*650,"Pass",IF($B$2="mil",1,0.0254)*650-$N79)</f>
        <v>#REF!</v>
      </c>
      <c r="AQ79" s="445" t="e">
        <f t="shared" ref="AQ79:AQ87" si="144">IF(MAX(M79:N79)-MIN(M79:N79)&lt;=IF($B$2="mil",1,0.0254)*50,"Pass",MAX(M79:N79)-MIN(M79:N79)-IF($B$2="mil",1,0.0254)*50)</f>
        <v>#REF!</v>
      </c>
      <c r="AR79" s="447" t="e">
        <f t="shared" ref="AR79:AR87" ca="1" si="145">CheckLength2(IF($B$2="mil",1,0.0254)*800,$O79,M79,0)</f>
        <v>#NAME?</v>
      </c>
      <c r="AS79" s="447" t="e">
        <f t="shared" ref="AS79:AS87" ca="1" si="146">CheckLength2(IF($B$2="mil",1,0.0254)*800,$P79,N79,0)</f>
        <v>#NAME?</v>
      </c>
      <c r="AT79" s="447" t="e">
        <f t="shared" ref="AT79:AT87" si="147">IF(AND($S79&gt;=IF($B$2="mil",1,0.0254)*500, $S79&lt;=IF($B$2="mil",1,0.0254)*5500),"Pass",IF($B$2="mil",1,0.0254)*5500-$S79)</f>
        <v>#REF!</v>
      </c>
      <c r="AU79" s="447" t="e">
        <f t="shared" ref="AU79:AU87" si="148">IF(AND($T79&gt;=IF($B$2="mil",1,0.0254)*500, $T79&lt;=IF($B$2="mil",1,0.0254)*6000),"Pass",IF($B$2="mil",1,0.0254)*6000-$T79)</f>
        <v>#REF!</v>
      </c>
      <c r="AV79" s="18"/>
      <c r="AW79" s="82" t="e">
        <f ca="1">IF(AND(AF79="Pass",AG79="Pass",AI79="Pass",AJ79="Pass",AS79="Pass",AN79="Pass",AO79="Pass",AP79="Pass",AQ79="Pass",AR79="Pass",AM79="Pass",AL79="Pass",AK79="Pass",X79="Pass",Y79="Pass",AT79="Pass",AU79="Pass"),"Pass","Fail")</f>
        <v>#REF!</v>
      </c>
      <c r="AX79" s="2" t="e">
        <f ca="1">IF(AND(AW79="Pass",AW80="Pass",AW81="Pass",AW82="Pass",AW83="Pass",AW84="Pass",AW85="Pass",AW86="Pass",AW87="Pass"),"Pass","Fail")</f>
        <v>#REF!</v>
      </c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</row>
    <row r="80" spans="1:65" x14ac:dyDescent="0.2">
      <c r="A80" s="560" t="s">
        <v>223</v>
      </c>
      <c r="B80" s="589" t="s">
        <v>535</v>
      </c>
      <c r="C80" s="584">
        <v>749.48818897637796</v>
      </c>
      <c r="D80" s="16"/>
      <c r="E80" s="17">
        <v>22.63</v>
      </c>
      <c r="F80" s="17">
        <v>0</v>
      </c>
      <c r="G80">
        <v>1416.4</v>
      </c>
      <c r="H80">
        <v>759</v>
      </c>
      <c r="I80">
        <v>85.78</v>
      </c>
      <c r="J80" s="17">
        <v>40</v>
      </c>
      <c r="K80">
        <v>42.23</v>
      </c>
      <c r="L80">
        <v>1216.4100000000001</v>
      </c>
      <c r="M80" s="271">
        <v>0</v>
      </c>
      <c r="N80" s="271">
        <v>0</v>
      </c>
      <c r="O80">
        <v>22.26</v>
      </c>
      <c r="P80">
        <v>22.23</v>
      </c>
      <c r="Q80" s="58"/>
      <c r="R80" s="18"/>
      <c r="S80" s="441">
        <f t="shared" si="132"/>
        <v>3604.7100000000009</v>
      </c>
      <c r="T80" s="441" t="e">
        <f t="shared" ref="T80:T87" si="149">S80+IF($B$2="mil",1,0.0254)*$C80</f>
        <v>#REF!</v>
      </c>
      <c r="U80" s="441" t="e">
        <f>MAX(U$77:U$78)+IF($B$2="mil",1,0.0254)*DDR2Specs!$E$3</f>
        <v>#REF!</v>
      </c>
      <c r="V80" s="441" t="e">
        <f>MIN(U$77:U$78)+IF($B$2="mil",1,0.0254)*DDR2Specs!$F$3</f>
        <v>#REF!</v>
      </c>
      <c r="W80" s="18"/>
      <c r="X80" s="534" t="e">
        <f t="shared" si="133"/>
        <v>#REF!</v>
      </c>
      <c r="Y80" s="447" t="e">
        <f t="shared" si="134"/>
        <v>#REF!</v>
      </c>
      <c r="Z80" s="18"/>
      <c r="AA80" s="441">
        <f t="shared" si="135"/>
        <v>3604.6800000000007</v>
      </c>
      <c r="AB80" s="441" t="e">
        <f t="shared" ref="AB80:AB87" si="150">AA80+IF($B$2="mil",1,0.0254)*$C80</f>
        <v>#REF!</v>
      </c>
      <c r="AC80" s="441" t="e">
        <f>MAX(AC$77:AC$78)+IF($B$2="mil",1,0.0254)*DDR2Specs!$E$3</f>
        <v>#REF!</v>
      </c>
      <c r="AD80" s="441" t="e">
        <f>MIN(AC$77:AC$78)+IF($B$2="mil",1,0.0254)*DDR2Specs!$F$3</f>
        <v>#REF!</v>
      </c>
      <c r="AE80" s="18"/>
      <c r="AF80" s="534" t="e">
        <f t="shared" ref="AF80:AF87" si="151">IF($AB80&lt;$AC80,$AC80-$AB80,"Pass")</f>
        <v>#REF!</v>
      </c>
      <c r="AG80" s="447" t="e">
        <f t="shared" ref="AG80:AG87" si="152">IF($AB80&gt;$AD80,$AB80-$AD80,"Pass")</f>
        <v>#REF!</v>
      </c>
      <c r="AH80" s="18"/>
      <c r="AI80" s="447" t="e">
        <f t="shared" si="136"/>
        <v>#REF!</v>
      </c>
      <c r="AJ80" s="447" t="e">
        <f t="shared" si="137"/>
        <v>#REF!</v>
      </c>
      <c r="AK80" s="447" t="e">
        <f t="shared" si="138"/>
        <v>#REF!</v>
      </c>
      <c r="AL80" s="447" t="e">
        <f t="shared" si="139"/>
        <v>#REF!</v>
      </c>
      <c r="AM80" s="447" t="e">
        <f t="shared" si="140"/>
        <v>#REF!</v>
      </c>
      <c r="AN80" s="447" t="e">
        <f t="shared" si="141"/>
        <v>#REF!</v>
      </c>
      <c r="AO80" s="447" t="e">
        <f t="shared" si="142"/>
        <v>#REF!</v>
      </c>
      <c r="AP80" s="447" t="e">
        <f t="shared" si="143"/>
        <v>#REF!</v>
      </c>
      <c r="AQ80" s="445" t="e">
        <f t="shared" si="144"/>
        <v>#REF!</v>
      </c>
      <c r="AR80" s="447" t="e">
        <f t="shared" ca="1" si="145"/>
        <v>#NAME?</v>
      </c>
      <c r="AS80" s="447" t="e">
        <f t="shared" ca="1" si="146"/>
        <v>#NAME?</v>
      </c>
      <c r="AT80" s="447" t="e">
        <f t="shared" si="147"/>
        <v>#REF!</v>
      </c>
      <c r="AU80" s="447" t="e">
        <f t="shared" si="148"/>
        <v>#REF!</v>
      </c>
      <c r="AV80" s="18"/>
      <c r="AW80" s="82" t="e">
        <f t="shared" ref="AW80:AW87" ca="1" si="153">IF(AND(AF80="Pass",AG80="Pass",AI80="Pass",AJ80="Pass",AS80="Pass",AN80="Pass",AO80="Pass",AP80="Pass",AQ80="Pass",AR80="Pass",AM80="Pass",AL80="Pass",AK80="Pass",X80="Pass",Y80="Pass",AT80="Pass",AU80="Pass"),"Pass","Fail")</f>
        <v>#REF!</v>
      </c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</row>
    <row r="81" spans="1:65" x14ac:dyDescent="0.2">
      <c r="A81" s="560" t="s">
        <v>224</v>
      </c>
      <c r="B81" s="589" t="s">
        <v>161</v>
      </c>
      <c r="C81" s="584">
        <v>668.97637795275591</v>
      </c>
      <c r="D81" s="16"/>
      <c r="E81" s="17">
        <v>22.63</v>
      </c>
      <c r="F81" s="17">
        <v>0</v>
      </c>
      <c r="G81">
        <v>1465.88</v>
      </c>
      <c r="H81">
        <v>790.71</v>
      </c>
      <c r="I81">
        <v>81.64</v>
      </c>
      <c r="J81" s="17">
        <v>40</v>
      </c>
      <c r="K81">
        <v>85.78</v>
      </c>
      <c r="L81">
        <v>1188.9100000000001</v>
      </c>
      <c r="M81" s="271">
        <v>0</v>
      </c>
      <c r="N81" s="271">
        <v>0</v>
      </c>
      <c r="O81">
        <v>22.28</v>
      </c>
      <c r="P81">
        <v>22.25</v>
      </c>
      <c r="Q81" s="58"/>
      <c r="R81" s="18"/>
      <c r="S81" s="441">
        <f t="shared" si="132"/>
        <v>3697.8300000000004</v>
      </c>
      <c r="T81" s="441" t="e">
        <f t="shared" si="149"/>
        <v>#REF!</v>
      </c>
      <c r="U81" s="441" t="e">
        <f>MAX(U$77:U$78)+IF($B$2="mil",1,0.0254)*DDR2Specs!$E$3</f>
        <v>#REF!</v>
      </c>
      <c r="V81" s="441" t="e">
        <f>MIN(U$77:U$78)+IF($B$2="mil",1,0.0254)*DDR2Specs!$F$3</f>
        <v>#REF!</v>
      </c>
      <c r="W81" s="18"/>
      <c r="X81" s="534" t="e">
        <f t="shared" si="133"/>
        <v>#REF!</v>
      </c>
      <c r="Y81" s="447" t="e">
        <f t="shared" si="134"/>
        <v>#REF!</v>
      </c>
      <c r="Z81" s="18"/>
      <c r="AA81" s="441">
        <f t="shared" si="135"/>
        <v>3697.8</v>
      </c>
      <c r="AB81" s="441" t="e">
        <f t="shared" si="150"/>
        <v>#REF!</v>
      </c>
      <c r="AC81" s="441" t="e">
        <f>MAX(AC$77:AC$78)+IF($B$2="mil",1,0.0254)*DDR2Specs!$E$3</f>
        <v>#REF!</v>
      </c>
      <c r="AD81" s="441" t="e">
        <f>MIN(AC$77:AC$78)+IF($B$2="mil",1,0.0254)*DDR2Specs!$F$3</f>
        <v>#REF!</v>
      </c>
      <c r="AE81" s="18"/>
      <c r="AF81" s="534" t="e">
        <f t="shared" si="151"/>
        <v>#REF!</v>
      </c>
      <c r="AG81" s="447" t="e">
        <f t="shared" si="152"/>
        <v>#REF!</v>
      </c>
      <c r="AH81" s="18"/>
      <c r="AI81" s="447" t="e">
        <f t="shared" si="136"/>
        <v>#REF!</v>
      </c>
      <c r="AJ81" s="447" t="e">
        <f t="shared" si="137"/>
        <v>#REF!</v>
      </c>
      <c r="AK81" s="447" t="e">
        <f t="shared" si="138"/>
        <v>#REF!</v>
      </c>
      <c r="AL81" s="447" t="e">
        <f t="shared" si="139"/>
        <v>#REF!</v>
      </c>
      <c r="AM81" s="447" t="e">
        <f t="shared" si="140"/>
        <v>#REF!</v>
      </c>
      <c r="AN81" s="447" t="e">
        <f t="shared" si="141"/>
        <v>#REF!</v>
      </c>
      <c r="AO81" s="447" t="e">
        <f t="shared" si="142"/>
        <v>#REF!</v>
      </c>
      <c r="AP81" s="447" t="e">
        <f t="shared" si="143"/>
        <v>#REF!</v>
      </c>
      <c r="AQ81" s="445" t="e">
        <f t="shared" si="144"/>
        <v>#REF!</v>
      </c>
      <c r="AR81" s="447" t="e">
        <f t="shared" ca="1" si="145"/>
        <v>#NAME?</v>
      </c>
      <c r="AS81" s="447" t="e">
        <f t="shared" ca="1" si="146"/>
        <v>#NAME?</v>
      </c>
      <c r="AT81" s="447" t="e">
        <f t="shared" si="147"/>
        <v>#REF!</v>
      </c>
      <c r="AU81" s="447" t="e">
        <f t="shared" si="148"/>
        <v>#REF!</v>
      </c>
      <c r="AV81" s="18"/>
      <c r="AW81" s="82" t="e">
        <f t="shared" ca="1" si="153"/>
        <v>#REF!</v>
      </c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</row>
    <row r="82" spans="1:65" x14ac:dyDescent="0.2">
      <c r="A82" s="560" t="s">
        <v>225</v>
      </c>
      <c r="B82" s="589" t="s">
        <v>536</v>
      </c>
      <c r="C82" s="584">
        <v>678.50393700787413</v>
      </c>
      <c r="D82" s="16"/>
      <c r="E82" s="17">
        <v>22.63</v>
      </c>
      <c r="F82" s="17">
        <v>0</v>
      </c>
      <c r="G82">
        <v>1461.52</v>
      </c>
      <c r="H82">
        <v>785.11</v>
      </c>
      <c r="I82">
        <v>85.78</v>
      </c>
      <c r="J82" s="17">
        <v>40</v>
      </c>
      <c r="K82">
        <v>44.57</v>
      </c>
      <c r="L82">
        <v>1219.69</v>
      </c>
      <c r="M82" s="271">
        <v>0</v>
      </c>
      <c r="N82" s="271">
        <v>0</v>
      </c>
      <c r="O82">
        <v>22.25</v>
      </c>
      <c r="P82">
        <v>22.28</v>
      </c>
      <c r="Q82" s="58"/>
      <c r="R82" s="18"/>
      <c r="S82" s="441">
        <f t="shared" si="132"/>
        <v>3681.5500000000006</v>
      </c>
      <c r="T82" s="441" t="e">
        <f t="shared" si="149"/>
        <v>#REF!</v>
      </c>
      <c r="U82" s="441" t="e">
        <f>MAX(U$77:U$78)+IF($B$2="mil",1,0.0254)*DDR2Specs!$E$3</f>
        <v>#REF!</v>
      </c>
      <c r="V82" s="441" t="e">
        <f>MIN(U$77:U$78)+IF($B$2="mil",1,0.0254)*DDR2Specs!$F$3</f>
        <v>#REF!</v>
      </c>
      <c r="W82" s="18"/>
      <c r="X82" s="534" t="e">
        <f t="shared" si="133"/>
        <v>#REF!</v>
      </c>
      <c r="Y82" s="447" t="e">
        <f t="shared" si="134"/>
        <v>#REF!</v>
      </c>
      <c r="Z82" s="18"/>
      <c r="AA82" s="441">
        <f t="shared" si="135"/>
        <v>3681.5800000000008</v>
      </c>
      <c r="AB82" s="441" t="e">
        <f t="shared" si="150"/>
        <v>#REF!</v>
      </c>
      <c r="AC82" s="441" t="e">
        <f>MAX(AC$77:AC$78)+IF($B$2="mil",1,0.0254)*DDR2Specs!$E$3</f>
        <v>#REF!</v>
      </c>
      <c r="AD82" s="441" t="e">
        <f>MIN(AC$77:AC$78)+IF($B$2="mil",1,0.0254)*DDR2Specs!$F$3</f>
        <v>#REF!</v>
      </c>
      <c r="AE82" s="18"/>
      <c r="AF82" s="534" t="e">
        <f t="shared" si="151"/>
        <v>#REF!</v>
      </c>
      <c r="AG82" s="447" t="e">
        <f t="shared" si="152"/>
        <v>#REF!</v>
      </c>
      <c r="AH82" s="18"/>
      <c r="AI82" s="447" t="e">
        <f t="shared" si="136"/>
        <v>#REF!</v>
      </c>
      <c r="AJ82" s="447" t="e">
        <f t="shared" si="137"/>
        <v>#REF!</v>
      </c>
      <c r="AK82" s="447" t="e">
        <f t="shared" si="138"/>
        <v>#REF!</v>
      </c>
      <c r="AL82" s="447" t="e">
        <f t="shared" si="139"/>
        <v>#REF!</v>
      </c>
      <c r="AM82" s="447" t="e">
        <f t="shared" si="140"/>
        <v>#REF!</v>
      </c>
      <c r="AN82" s="447" t="e">
        <f t="shared" si="141"/>
        <v>#REF!</v>
      </c>
      <c r="AO82" s="447" t="e">
        <f t="shared" si="142"/>
        <v>#REF!</v>
      </c>
      <c r="AP82" s="447" t="e">
        <f t="shared" si="143"/>
        <v>#REF!</v>
      </c>
      <c r="AQ82" s="445" t="e">
        <f t="shared" si="144"/>
        <v>#REF!</v>
      </c>
      <c r="AR82" s="447" t="e">
        <f t="shared" ca="1" si="145"/>
        <v>#NAME?</v>
      </c>
      <c r="AS82" s="447" t="e">
        <f t="shared" ca="1" si="146"/>
        <v>#NAME?</v>
      </c>
      <c r="AT82" s="447" t="e">
        <f t="shared" si="147"/>
        <v>#REF!</v>
      </c>
      <c r="AU82" s="447" t="e">
        <f t="shared" si="148"/>
        <v>#REF!</v>
      </c>
      <c r="AV82" s="18"/>
      <c r="AW82" s="82" t="e">
        <f t="shared" ca="1" si="153"/>
        <v>#REF!</v>
      </c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</row>
    <row r="83" spans="1:65" x14ac:dyDescent="0.2">
      <c r="A83" s="560" t="s">
        <v>226</v>
      </c>
      <c r="B83" s="589" t="s">
        <v>537</v>
      </c>
      <c r="C83" s="584">
        <v>794.01574803149606</v>
      </c>
      <c r="D83" s="16"/>
      <c r="E83" s="17">
        <v>22.63</v>
      </c>
      <c r="F83" s="17">
        <v>0</v>
      </c>
      <c r="G83">
        <v>1290.31</v>
      </c>
      <c r="H83">
        <v>790.77</v>
      </c>
      <c r="I83">
        <v>81.64</v>
      </c>
      <c r="J83" s="17">
        <v>40</v>
      </c>
      <c r="K83">
        <v>29.57</v>
      </c>
      <c r="L83">
        <v>1245.1600000000001</v>
      </c>
      <c r="M83" s="271">
        <v>0</v>
      </c>
      <c r="N83" s="271">
        <v>0</v>
      </c>
      <c r="O83">
        <v>64.760000000000005</v>
      </c>
      <c r="P83">
        <v>64.790000000000006</v>
      </c>
      <c r="Q83" s="58"/>
      <c r="R83" s="18"/>
      <c r="S83" s="441">
        <f t="shared" si="132"/>
        <v>3564.84</v>
      </c>
      <c r="T83" s="441" t="e">
        <f t="shared" si="149"/>
        <v>#REF!</v>
      </c>
      <c r="U83" s="441" t="e">
        <f>MAX(U$77:U$78)+IF($B$2="mil",1,0.0254)*DDR2Specs!$E$3</f>
        <v>#REF!</v>
      </c>
      <c r="V83" s="441" t="e">
        <f>MIN(U$77:U$78)+IF($B$2="mil",1,0.0254)*DDR2Specs!$F$3</f>
        <v>#REF!</v>
      </c>
      <c r="W83" s="18"/>
      <c r="X83" s="534" t="e">
        <f t="shared" si="133"/>
        <v>#REF!</v>
      </c>
      <c r="Y83" s="447" t="e">
        <f t="shared" si="134"/>
        <v>#REF!</v>
      </c>
      <c r="Z83" s="18"/>
      <c r="AA83" s="441">
        <f t="shared" si="135"/>
        <v>3564.87</v>
      </c>
      <c r="AB83" s="441" t="e">
        <f t="shared" si="150"/>
        <v>#REF!</v>
      </c>
      <c r="AC83" s="441" t="e">
        <f>MAX(AC$77:AC$78)+IF($B$2="mil",1,0.0254)*DDR2Specs!$E$3</f>
        <v>#REF!</v>
      </c>
      <c r="AD83" s="441" t="e">
        <f>MIN(AC$77:AC$78)+IF($B$2="mil",1,0.0254)*DDR2Specs!$F$3</f>
        <v>#REF!</v>
      </c>
      <c r="AE83" s="18"/>
      <c r="AF83" s="534" t="e">
        <f t="shared" si="151"/>
        <v>#REF!</v>
      </c>
      <c r="AG83" s="447" t="e">
        <f t="shared" si="152"/>
        <v>#REF!</v>
      </c>
      <c r="AH83" s="18"/>
      <c r="AI83" s="447" t="e">
        <f t="shared" si="136"/>
        <v>#REF!</v>
      </c>
      <c r="AJ83" s="447" t="e">
        <f t="shared" si="137"/>
        <v>#REF!</v>
      </c>
      <c r="AK83" s="447" t="e">
        <f t="shared" si="138"/>
        <v>#REF!</v>
      </c>
      <c r="AL83" s="447" t="e">
        <f t="shared" si="139"/>
        <v>#REF!</v>
      </c>
      <c r="AM83" s="447" t="e">
        <f t="shared" si="140"/>
        <v>#REF!</v>
      </c>
      <c r="AN83" s="447" t="e">
        <f t="shared" si="141"/>
        <v>#REF!</v>
      </c>
      <c r="AO83" s="447" t="e">
        <f t="shared" si="142"/>
        <v>#REF!</v>
      </c>
      <c r="AP83" s="447" t="e">
        <f t="shared" si="143"/>
        <v>#REF!</v>
      </c>
      <c r="AQ83" s="445" t="e">
        <f t="shared" si="144"/>
        <v>#REF!</v>
      </c>
      <c r="AR83" s="447" t="e">
        <f t="shared" ca="1" si="145"/>
        <v>#NAME?</v>
      </c>
      <c r="AS83" s="447" t="e">
        <f t="shared" ca="1" si="146"/>
        <v>#NAME?</v>
      </c>
      <c r="AT83" s="447" t="e">
        <f t="shared" si="147"/>
        <v>#REF!</v>
      </c>
      <c r="AU83" s="447" t="e">
        <f t="shared" si="148"/>
        <v>#REF!</v>
      </c>
      <c r="AV83" s="18"/>
      <c r="AW83" s="82" t="e">
        <f t="shared" ca="1" si="153"/>
        <v>#REF!</v>
      </c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</row>
    <row r="84" spans="1:65" x14ac:dyDescent="0.2">
      <c r="A84" s="560" t="s">
        <v>227</v>
      </c>
      <c r="B84" s="589" t="s">
        <v>394</v>
      </c>
      <c r="C84" s="584">
        <v>766.88976377952758</v>
      </c>
      <c r="D84" s="16"/>
      <c r="E84" s="17">
        <v>22.63</v>
      </c>
      <c r="F84" s="17">
        <v>0</v>
      </c>
      <c r="G84">
        <v>1361.45</v>
      </c>
      <c r="H84">
        <v>800.11</v>
      </c>
      <c r="I84">
        <v>44.57</v>
      </c>
      <c r="J84" s="17">
        <v>40</v>
      </c>
      <c r="K84">
        <v>85.78</v>
      </c>
      <c r="L84">
        <v>1160.23</v>
      </c>
      <c r="M84" s="271">
        <v>0</v>
      </c>
      <c r="N84" s="271">
        <v>0</v>
      </c>
      <c r="O84">
        <v>76.06</v>
      </c>
      <c r="P84">
        <v>76.03</v>
      </c>
      <c r="Q84" s="58"/>
      <c r="R84" s="18"/>
      <c r="S84" s="441">
        <f t="shared" si="132"/>
        <v>3590.8300000000004</v>
      </c>
      <c r="T84" s="441" t="e">
        <f t="shared" si="149"/>
        <v>#REF!</v>
      </c>
      <c r="U84" s="441" t="e">
        <f>MAX(U$77:U$78)+IF($B$2="mil",1,0.0254)*DDR2Specs!$E$3</f>
        <v>#REF!</v>
      </c>
      <c r="V84" s="441" t="e">
        <f>MIN(U$77:U$78)+IF($B$2="mil",1,0.0254)*DDR2Specs!$F$3</f>
        <v>#REF!</v>
      </c>
      <c r="W84" s="18"/>
      <c r="X84" s="534" t="e">
        <f t="shared" si="133"/>
        <v>#REF!</v>
      </c>
      <c r="Y84" s="447" t="e">
        <f t="shared" si="134"/>
        <v>#REF!</v>
      </c>
      <c r="Z84" s="18"/>
      <c r="AA84" s="441">
        <f t="shared" si="135"/>
        <v>3590.8000000000006</v>
      </c>
      <c r="AB84" s="441" t="e">
        <f t="shared" si="150"/>
        <v>#REF!</v>
      </c>
      <c r="AC84" s="441" t="e">
        <f>MAX(AC$77:AC$78)+IF($B$2="mil",1,0.0254)*DDR2Specs!$E$3</f>
        <v>#REF!</v>
      </c>
      <c r="AD84" s="441" t="e">
        <f>MIN(AC$77:AC$78)+IF($B$2="mil",1,0.0254)*DDR2Specs!$F$3</f>
        <v>#REF!</v>
      </c>
      <c r="AE84" s="18"/>
      <c r="AF84" s="534" t="e">
        <f t="shared" si="151"/>
        <v>#REF!</v>
      </c>
      <c r="AG84" s="447" t="e">
        <f t="shared" si="152"/>
        <v>#REF!</v>
      </c>
      <c r="AH84" s="18"/>
      <c r="AI84" s="447" t="e">
        <f t="shared" si="136"/>
        <v>#REF!</v>
      </c>
      <c r="AJ84" s="447" t="e">
        <f t="shared" si="137"/>
        <v>#REF!</v>
      </c>
      <c r="AK84" s="447" t="e">
        <f t="shared" si="138"/>
        <v>#REF!</v>
      </c>
      <c r="AL84" s="447" t="e">
        <f t="shared" si="139"/>
        <v>#REF!</v>
      </c>
      <c r="AM84" s="447" t="e">
        <f t="shared" si="140"/>
        <v>#REF!</v>
      </c>
      <c r="AN84" s="447" t="e">
        <f t="shared" si="141"/>
        <v>#REF!</v>
      </c>
      <c r="AO84" s="447" t="e">
        <f t="shared" si="142"/>
        <v>#REF!</v>
      </c>
      <c r="AP84" s="447" t="e">
        <f t="shared" si="143"/>
        <v>#REF!</v>
      </c>
      <c r="AQ84" s="445" t="e">
        <f t="shared" si="144"/>
        <v>#REF!</v>
      </c>
      <c r="AR84" s="447" t="e">
        <f t="shared" ca="1" si="145"/>
        <v>#NAME?</v>
      </c>
      <c r="AS84" s="447" t="e">
        <f t="shared" ca="1" si="146"/>
        <v>#NAME?</v>
      </c>
      <c r="AT84" s="447" t="e">
        <f t="shared" si="147"/>
        <v>#REF!</v>
      </c>
      <c r="AU84" s="447" t="e">
        <f t="shared" si="148"/>
        <v>#REF!</v>
      </c>
      <c r="AV84" s="18"/>
      <c r="AW84" s="82" t="e">
        <f t="shared" ca="1" si="153"/>
        <v>#REF!</v>
      </c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</row>
    <row r="85" spans="1:65" x14ac:dyDescent="0.2">
      <c r="A85" s="560" t="s">
        <v>228</v>
      </c>
      <c r="B85" s="589" t="s">
        <v>538</v>
      </c>
      <c r="C85" s="584">
        <v>662.00787401574814</v>
      </c>
      <c r="D85" s="16"/>
      <c r="E85" s="17">
        <v>22.63</v>
      </c>
      <c r="F85" s="17">
        <v>0</v>
      </c>
      <c r="G85">
        <v>1495.31</v>
      </c>
      <c r="H85">
        <v>771.34</v>
      </c>
      <c r="I85">
        <v>85.78</v>
      </c>
      <c r="J85" s="17">
        <v>40</v>
      </c>
      <c r="K85">
        <v>85.78</v>
      </c>
      <c r="L85">
        <v>1169.1199999999999</v>
      </c>
      <c r="M85" s="271">
        <v>0</v>
      </c>
      <c r="N85" s="271">
        <v>0</v>
      </c>
      <c r="O85">
        <v>25.06</v>
      </c>
      <c r="P85">
        <v>25.09</v>
      </c>
      <c r="Q85" s="58"/>
      <c r="R85" s="18"/>
      <c r="S85" s="441">
        <f t="shared" si="132"/>
        <v>3695.0200000000004</v>
      </c>
      <c r="T85" s="441" t="e">
        <f t="shared" si="149"/>
        <v>#REF!</v>
      </c>
      <c r="U85" s="441" t="e">
        <f>MAX(U$77:U$78)+IF($B$2="mil",1,0.0254)*DDR2Specs!$E$3</f>
        <v>#REF!</v>
      </c>
      <c r="V85" s="441" t="e">
        <f>MIN(U$77:U$78)+IF($B$2="mil",1,0.0254)*DDR2Specs!$F$3</f>
        <v>#REF!</v>
      </c>
      <c r="W85" s="18"/>
      <c r="X85" s="534" t="e">
        <f t="shared" si="133"/>
        <v>#REF!</v>
      </c>
      <c r="Y85" s="447" t="e">
        <f t="shared" si="134"/>
        <v>#REF!</v>
      </c>
      <c r="Z85" s="18"/>
      <c r="AA85" s="441">
        <f t="shared" si="135"/>
        <v>3695.0500000000006</v>
      </c>
      <c r="AB85" s="441" t="e">
        <f t="shared" si="150"/>
        <v>#REF!</v>
      </c>
      <c r="AC85" s="441" t="e">
        <f>MAX(AC$77:AC$78)+IF($B$2="mil",1,0.0254)*DDR2Specs!$E$3</f>
        <v>#REF!</v>
      </c>
      <c r="AD85" s="441" t="e">
        <f>MIN(AC$77:AC$78)+IF($B$2="mil",1,0.0254)*DDR2Specs!$F$3</f>
        <v>#REF!</v>
      </c>
      <c r="AE85" s="18"/>
      <c r="AF85" s="534" t="e">
        <f t="shared" si="151"/>
        <v>#REF!</v>
      </c>
      <c r="AG85" s="447" t="e">
        <f t="shared" si="152"/>
        <v>#REF!</v>
      </c>
      <c r="AH85" s="18"/>
      <c r="AI85" s="447" t="e">
        <f t="shared" si="136"/>
        <v>#REF!</v>
      </c>
      <c r="AJ85" s="447" t="e">
        <f t="shared" si="137"/>
        <v>#REF!</v>
      </c>
      <c r="AK85" s="447" t="e">
        <f t="shared" si="138"/>
        <v>#REF!</v>
      </c>
      <c r="AL85" s="447" t="e">
        <f t="shared" si="139"/>
        <v>#REF!</v>
      </c>
      <c r="AM85" s="447" t="e">
        <f t="shared" si="140"/>
        <v>#REF!</v>
      </c>
      <c r="AN85" s="447" t="e">
        <f t="shared" si="141"/>
        <v>#REF!</v>
      </c>
      <c r="AO85" s="447" t="e">
        <f t="shared" si="142"/>
        <v>#REF!</v>
      </c>
      <c r="AP85" s="447" t="e">
        <f t="shared" si="143"/>
        <v>#REF!</v>
      </c>
      <c r="AQ85" s="445" t="e">
        <f t="shared" si="144"/>
        <v>#REF!</v>
      </c>
      <c r="AR85" s="447" t="e">
        <f t="shared" ca="1" si="145"/>
        <v>#NAME?</v>
      </c>
      <c r="AS85" s="447" t="e">
        <f t="shared" ca="1" si="146"/>
        <v>#NAME?</v>
      </c>
      <c r="AT85" s="447" t="e">
        <f t="shared" si="147"/>
        <v>#REF!</v>
      </c>
      <c r="AU85" s="447" t="e">
        <f t="shared" si="148"/>
        <v>#REF!</v>
      </c>
      <c r="AV85" s="18"/>
      <c r="AW85" s="82" t="e">
        <f t="shared" ca="1" si="153"/>
        <v>#REF!</v>
      </c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</row>
    <row r="86" spans="1:65" x14ac:dyDescent="0.2">
      <c r="A86" s="560" t="s">
        <v>229</v>
      </c>
      <c r="B86" s="589" t="s">
        <v>164</v>
      </c>
      <c r="C86" s="584">
        <v>655.43307086614175</v>
      </c>
      <c r="D86" s="16"/>
      <c r="E86" s="17">
        <v>22.63</v>
      </c>
      <c r="F86" s="17">
        <v>0</v>
      </c>
      <c r="G86">
        <v>1480.95</v>
      </c>
      <c r="H86">
        <v>825.88</v>
      </c>
      <c r="I86">
        <v>44.57</v>
      </c>
      <c r="J86" s="17">
        <v>40</v>
      </c>
      <c r="K86">
        <v>44.57</v>
      </c>
      <c r="L86">
        <v>1219.02</v>
      </c>
      <c r="M86" s="271">
        <v>0</v>
      </c>
      <c r="N86" s="271">
        <v>0</v>
      </c>
      <c r="O86">
        <v>23.59</v>
      </c>
      <c r="P86">
        <v>23.56</v>
      </c>
      <c r="Q86" s="58"/>
      <c r="R86" s="18"/>
      <c r="S86" s="441">
        <f t="shared" si="132"/>
        <v>3701.2100000000005</v>
      </c>
      <c r="T86" s="441" t="e">
        <f t="shared" si="149"/>
        <v>#REF!</v>
      </c>
      <c r="U86" s="441" t="e">
        <f>MAX(U$77:U$78)+IF($B$2="mil",1,0.0254)*DDR2Specs!$E$3</f>
        <v>#REF!</v>
      </c>
      <c r="V86" s="441" t="e">
        <f>MIN(U$77:U$78)+IF($B$2="mil",1,0.0254)*DDR2Specs!$F$3</f>
        <v>#REF!</v>
      </c>
      <c r="W86" s="18"/>
      <c r="X86" s="534" t="e">
        <f t="shared" si="133"/>
        <v>#REF!</v>
      </c>
      <c r="Y86" s="447" t="e">
        <f t="shared" si="134"/>
        <v>#REF!</v>
      </c>
      <c r="Z86" s="18"/>
      <c r="AA86" s="441">
        <f t="shared" si="135"/>
        <v>3701.1800000000003</v>
      </c>
      <c r="AB86" s="441" t="e">
        <f t="shared" si="150"/>
        <v>#REF!</v>
      </c>
      <c r="AC86" s="441" t="e">
        <f>MAX(AC$77:AC$78)+IF($B$2="mil",1,0.0254)*DDR2Specs!$E$3</f>
        <v>#REF!</v>
      </c>
      <c r="AD86" s="441" t="e">
        <f>MIN(AC$77:AC$78)+IF($B$2="mil",1,0.0254)*DDR2Specs!$F$3</f>
        <v>#REF!</v>
      </c>
      <c r="AE86" s="18"/>
      <c r="AF86" s="534" t="e">
        <f t="shared" si="151"/>
        <v>#REF!</v>
      </c>
      <c r="AG86" s="447" t="e">
        <f t="shared" si="152"/>
        <v>#REF!</v>
      </c>
      <c r="AH86" s="18"/>
      <c r="AI86" s="447" t="e">
        <f t="shared" si="136"/>
        <v>#REF!</v>
      </c>
      <c r="AJ86" s="447" t="e">
        <f t="shared" si="137"/>
        <v>#REF!</v>
      </c>
      <c r="AK86" s="447" t="e">
        <f t="shared" si="138"/>
        <v>#REF!</v>
      </c>
      <c r="AL86" s="447" t="e">
        <f t="shared" si="139"/>
        <v>#REF!</v>
      </c>
      <c r="AM86" s="447" t="e">
        <f t="shared" si="140"/>
        <v>#REF!</v>
      </c>
      <c r="AN86" s="447" t="e">
        <f t="shared" si="141"/>
        <v>#REF!</v>
      </c>
      <c r="AO86" s="447" t="e">
        <f t="shared" si="142"/>
        <v>#REF!</v>
      </c>
      <c r="AP86" s="447" t="e">
        <f t="shared" si="143"/>
        <v>#REF!</v>
      </c>
      <c r="AQ86" s="445" t="e">
        <f t="shared" si="144"/>
        <v>#REF!</v>
      </c>
      <c r="AR86" s="447" t="e">
        <f t="shared" ca="1" si="145"/>
        <v>#NAME?</v>
      </c>
      <c r="AS86" s="447" t="e">
        <f t="shared" ca="1" si="146"/>
        <v>#NAME?</v>
      </c>
      <c r="AT86" s="447" t="e">
        <f t="shared" si="147"/>
        <v>#REF!</v>
      </c>
      <c r="AU86" s="447" t="e">
        <f t="shared" si="148"/>
        <v>#REF!</v>
      </c>
      <c r="AV86" s="18"/>
      <c r="AW86" s="82" t="e">
        <f t="shared" ca="1" si="153"/>
        <v>#REF!</v>
      </c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</row>
    <row r="87" spans="1:65" x14ac:dyDescent="0.2">
      <c r="A87" s="560" t="s">
        <v>230</v>
      </c>
      <c r="B87" s="590" t="s">
        <v>557</v>
      </c>
      <c r="C87" s="584">
        <v>709.09448818897636</v>
      </c>
      <c r="D87" s="16"/>
      <c r="E87" s="17">
        <v>22.63</v>
      </c>
      <c r="F87" s="17">
        <v>0</v>
      </c>
      <c r="G87">
        <v>1389.07</v>
      </c>
      <c r="H87">
        <v>780.83</v>
      </c>
      <c r="I87">
        <v>85.78</v>
      </c>
      <c r="J87" s="17">
        <v>40</v>
      </c>
      <c r="K87">
        <v>44.57</v>
      </c>
      <c r="L87">
        <v>1214.5899999999999</v>
      </c>
      <c r="M87" s="271">
        <v>0</v>
      </c>
      <c r="N87" s="271">
        <v>0</v>
      </c>
      <c r="O87">
        <v>72.97</v>
      </c>
      <c r="P87">
        <v>70.47</v>
      </c>
      <c r="Q87" s="58"/>
      <c r="R87" s="18"/>
      <c r="S87" s="441">
        <f t="shared" si="132"/>
        <v>3650.44</v>
      </c>
      <c r="T87" s="441" t="e">
        <f t="shared" si="149"/>
        <v>#REF!</v>
      </c>
      <c r="U87" s="441" t="e">
        <f>MAX(U$77:U$78)+IF($B$2="mil",1,0.0254)*DDR2Specs!$E$3</f>
        <v>#REF!</v>
      </c>
      <c r="V87" s="441" t="e">
        <f>MIN(U$77:U$78)+IF($B$2="mil",1,0.0254)*DDR2Specs!$F$3</f>
        <v>#REF!</v>
      </c>
      <c r="W87" s="18"/>
      <c r="X87" s="534" t="e">
        <f t="shared" si="133"/>
        <v>#REF!</v>
      </c>
      <c r="Y87" s="447" t="e">
        <f t="shared" si="134"/>
        <v>#REF!</v>
      </c>
      <c r="Z87" s="18"/>
      <c r="AA87" s="441">
        <f t="shared" si="135"/>
        <v>3647.94</v>
      </c>
      <c r="AB87" s="441" t="e">
        <f t="shared" si="150"/>
        <v>#REF!</v>
      </c>
      <c r="AC87" s="441" t="e">
        <f>MAX(AC$77:AC$78)+IF($B$2="mil",1,0.0254)*DDR2Specs!$E$3</f>
        <v>#REF!</v>
      </c>
      <c r="AD87" s="441" t="e">
        <f>MIN(AC$77:AC$78)+IF($B$2="mil",1,0.0254)*DDR2Specs!$F$3</f>
        <v>#REF!</v>
      </c>
      <c r="AE87" s="18"/>
      <c r="AF87" s="534" t="e">
        <f t="shared" si="151"/>
        <v>#REF!</v>
      </c>
      <c r="AG87" s="447" t="e">
        <f t="shared" si="152"/>
        <v>#REF!</v>
      </c>
      <c r="AH87" s="18"/>
      <c r="AI87" s="447" t="e">
        <f t="shared" si="136"/>
        <v>#REF!</v>
      </c>
      <c r="AJ87" s="447" t="e">
        <f t="shared" si="137"/>
        <v>#REF!</v>
      </c>
      <c r="AK87" s="447" t="e">
        <f t="shared" si="138"/>
        <v>#REF!</v>
      </c>
      <c r="AL87" s="447" t="e">
        <f t="shared" si="139"/>
        <v>#REF!</v>
      </c>
      <c r="AM87" s="447" t="e">
        <f t="shared" si="140"/>
        <v>#REF!</v>
      </c>
      <c r="AN87" s="447" t="e">
        <f t="shared" si="141"/>
        <v>#REF!</v>
      </c>
      <c r="AO87" s="447" t="e">
        <f t="shared" si="142"/>
        <v>#REF!</v>
      </c>
      <c r="AP87" s="447" t="e">
        <f t="shared" si="143"/>
        <v>#REF!</v>
      </c>
      <c r="AQ87" s="445" t="e">
        <f t="shared" si="144"/>
        <v>#REF!</v>
      </c>
      <c r="AR87" s="447" t="e">
        <f t="shared" ca="1" si="145"/>
        <v>#NAME?</v>
      </c>
      <c r="AS87" s="447" t="e">
        <f t="shared" ca="1" si="146"/>
        <v>#NAME?</v>
      </c>
      <c r="AT87" s="447" t="e">
        <f t="shared" si="147"/>
        <v>#REF!</v>
      </c>
      <c r="AU87" s="447" t="e">
        <f t="shared" si="148"/>
        <v>#REF!</v>
      </c>
      <c r="AV87" s="18"/>
      <c r="AW87" s="82" t="e">
        <f t="shared" ca="1" si="153"/>
        <v>#REF!</v>
      </c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</row>
    <row r="88" spans="1:65" x14ac:dyDescent="0.2">
      <c r="A88" s="563" t="s">
        <v>252</v>
      </c>
      <c r="B88" s="591"/>
      <c r="C88" s="585"/>
      <c r="D88" s="51"/>
      <c r="E88" s="68"/>
      <c r="F88" s="68"/>
      <c r="G88" s="394"/>
      <c r="H88" s="265"/>
      <c r="I88" s="265"/>
      <c r="J88" s="265"/>
      <c r="K88" s="265"/>
      <c r="L88" s="265"/>
      <c r="M88" s="265"/>
      <c r="N88" s="265"/>
      <c r="O88" s="265"/>
      <c r="P88" s="265"/>
      <c r="Q88" s="8"/>
      <c r="R88" s="540"/>
      <c r="S88" s="68"/>
      <c r="T88" s="539"/>
      <c r="U88" s="539"/>
      <c r="V88" s="540"/>
      <c r="W88" s="540"/>
      <c r="X88" s="541"/>
      <c r="Y88" s="15"/>
      <c r="Z88" s="540"/>
      <c r="AA88" s="68"/>
      <c r="AB88" s="539"/>
      <c r="AC88" s="539"/>
      <c r="AD88" s="540"/>
      <c r="AE88" s="540"/>
      <c r="AF88" s="541"/>
      <c r="AG88" s="15"/>
      <c r="AH88" s="540"/>
      <c r="AI88" s="15"/>
      <c r="AJ88" s="15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69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</row>
    <row r="89" spans="1:65" x14ac:dyDescent="0.2">
      <c r="A89" s="576" t="str">
        <f>'DDR2 Strobes - 2x16'!$A$42</f>
        <v>SA_DQS7</v>
      </c>
      <c r="B89" s="592" t="str">
        <f>'DDR2 Strobes - 2x16'!$B$42</f>
        <v>AA12</v>
      </c>
      <c r="C89" s="586"/>
      <c r="D89" s="44"/>
      <c r="E89" s="67"/>
      <c r="F89" s="67"/>
      <c r="G89" s="395"/>
      <c r="H89" s="266"/>
      <c r="I89" s="266"/>
      <c r="J89" s="266"/>
      <c r="K89" s="266"/>
      <c r="L89" s="266"/>
      <c r="M89" s="266"/>
      <c r="N89" s="266"/>
      <c r="O89" s="266"/>
      <c r="P89" s="266"/>
      <c r="Q89" s="67"/>
      <c r="R89" s="48"/>
      <c r="S89" s="67"/>
      <c r="T89" s="48"/>
      <c r="U89" s="48" t="e">
        <f>'DDR2 Strobes - 2x16'!$U$42</f>
        <v>#REF!</v>
      </c>
      <c r="V89" s="48"/>
      <c r="W89" s="48"/>
      <c r="X89" s="48"/>
      <c r="Y89" s="542"/>
      <c r="Z89" s="48"/>
      <c r="AA89" s="67"/>
      <c r="AB89" s="48"/>
      <c r="AC89" s="48" t="e">
        <f>'DDR2 Strobes - 2x16'!$AC$42</f>
        <v>#REF!</v>
      </c>
      <c r="AD89" s="48"/>
      <c r="AE89" s="48"/>
      <c r="AF89" s="48"/>
      <c r="AG89" s="542"/>
      <c r="AH89" s="48"/>
      <c r="AI89" s="542"/>
      <c r="AJ89" s="542"/>
      <c r="AK89" s="542"/>
      <c r="AL89" s="542"/>
      <c r="AM89" s="542"/>
      <c r="AN89" s="542"/>
      <c r="AO89" s="542"/>
      <c r="AP89" s="542"/>
      <c r="AQ89" s="542"/>
      <c r="AR89" s="542"/>
      <c r="AS89" s="542"/>
      <c r="AT89" s="542"/>
      <c r="AU89" s="542"/>
      <c r="AV89" s="48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</row>
    <row r="90" spans="1:65" x14ac:dyDescent="0.2">
      <c r="A90" s="576" t="str">
        <f>'DDR2 Strobes - 2x16'!$A$43</f>
        <v>SA_DQS7#</v>
      </c>
      <c r="B90" s="592" t="str">
        <f>'DDR2 Strobes - 2x16'!$B$43</f>
        <v>AB12</v>
      </c>
      <c r="C90" s="586"/>
      <c r="D90" s="44"/>
      <c r="E90" s="67"/>
      <c r="F90" s="67"/>
      <c r="G90" s="395"/>
      <c r="H90" s="266"/>
      <c r="I90" s="266"/>
      <c r="J90" s="266"/>
      <c r="K90" s="266"/>
      <c r="L90" s="266"/>
      <c r="M90" s="266"/>
      <c r="N90" s="266"/>
      <c r="O90" s="266"/>
      <c r="P90" s="266"/>
      <c r="Q90" s="67"/>
      <c r="R90" s="48"/>
      <c r="S90" s="536"/>
      <c r="T90" s="537"/>
      <c r="U90" s="48" t="e">
        <f>'DDR2 Strobes - 2x16'!$U$43</f>
        <v>#REF!</v>
      </c>
      <c r="V90" s="48"/>
      <c r="W90" s="48"/>
      <c r="X90" s="48"/>
      <c r="Y90" s="542"/>
      <c r="Z90" s="48"/>
      <c r="AA90" s="536"/>
      <c r="AB90" s="537"/>
      <c r="AC90" s="48" t="e">
        <f>'DDR2 Strobes - 2x16'!$AC$43</f>
        <v>#REF!</v>
      </c>
      <c r="AD90" s="48"/>
      <c r="AE90" s="48"/>
      <c r="AF90" s="48"/>
      <c r="AG90" s="542"/>
      <c r="AH90" s="48"/>
      <c r="AI90" s="542"/>
      <c r="AJ90" s="542"/>
      <c r="AK90" s="543"/>
      <c r="AL90" s="543"/>
      <c r="AM90" s="543"/>
      <c r="AN90" s="543"/>
      <c r="AO90" s="543"/>
      <c r="AP90" s="543"/>
      <c r="AQ90" s="543"/>
      <c r="AR90" s="543"/>
      <c r="AS90" s="543"/>
      <c r="AT90" s="543"/>
      <c r="AU90" s="543"/>
      <c r="AV90" s="48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</row>
    <row r="91" spans="1:65" x14ac:dyDescent="0.2">
      <c r="A91" s="560" t="s">
        <v>231</v>
      </c>
      <c r="B91" s="589" t="s">
        <v>539</v>
      </c>
      <c r="C91" s="584">
        <v>818.89763779527561</v>
      </c>
      <c r="D91" s="16"/>
      <c r="E91" s="17">
        <v>22.63</v>
      </c>
      <c r="F91" s="17">
        <v>0</v>
      </c>
      <c r="G91">
        <v>1090</v>
      </c>
      <c r="H91">
        <v>780.87</v>
      </c>
      <c r="I91">
        <v>85.78</v>
      </c>
      <c r="J91" s="17">
        <v>40</v>
      </c>
      <c r="K91">
        <v>44.57</v>
      </c>
      <c r="L91">
        <v>1229.31</v>
      </c>
      <c r="M91" s="271">
        <v>0</v>
      </c>
      <c r="N91" s="271">
        <v>0</v>
      </c>
      <c r="O91">
        <v>22.29</v>
      </c>
      <c r="P91">
        <v>22.26</v>
      </c>
      <c r="Q91" s="58"/>
      <c r="R91" s="18"/>
      <c r="S91" s="441">
        <f t="shared" ref="S91:S99" si="154">SUM(E91:G91,H91:M91,O91)</f>
        <v>3315.45</v>
      </c>
      <c r="T91" s="441" t="e">
        <f>S91+IF($B$2="mil",1,0.0254)*$C91</f>
        <v>#REF!</v>
      </c>
      <c r="U91" s="441" t="e">
        <f>MAX(U$89:U$90)+IF($B$2="mil",1,0.0254)*DDR2Specs!$E$3</f>
        <v>#REF!</v>
      </c>
      <c r="V91" s="441" t="e">
        <f>MIN(U$89:U$90)+IF($B$2="mil",1,0.0254)*DDR2Specs!$F$3</f>
        <v>#REF!</v>
      </c>
      <c r="W91" s="18"/>
      <c r="X91" s="534" t="e">
        <f t="shared" ref="X91:X99" si="155">IF($T91&lt;$U91,$U91-$T91,"Pass")</f>
        <v>#REF!</v>
      </c>
      <c r="Y91" s="447" t="e">
        <f t="shared" ref="Y91:Y99" si="156">IF($T91&gt;$V91,$T91-$V91,"Pass")</f>
        <v>#REF!</v>
      </c>
      <c r="Z91" s="18"/>
      <c r="AA91" s="441">
        <f t="shared" ref="AA91:AA99" si="157">SUM(E91:G91,H91:L91,N91,P91)</f>
        <v>3315.42</v>
      </c>
      <c r="AB91" s="441" t="e">
        <f>AA91+IF($B$2="mil",1,0.0254)*$C91</f>
        <v>#REF!</v>
      </c>
      <c r="AC91" s="441" t="e">
        <f>MAX(AC$89:AC$90)+IF($B$2="mil",1,0.0254)*DDR2Specs!$E$3</f>
        <v>#REF!</v>
      </c>
      <c r="AD91" s="441" t="e">
        <f>MIN(AC$89:AC$90)+IF($B$2="mil",1,0.0254)*DDR2Specs!$F$3</f>
        <v>#REF!</v>
      </c>
      <c r="AE91" s="18"/>
      <c r="AF91" s="534" t="e">
        <f>IF($AB91&lt;$AC91,$AC91-$AB91,"Pass")</f>
        <v>#REF!</v>
      </c>
      <c r="AG91" s="447" t="e">
        <f>IF($AB91&gt;$AD91,$AB91-$AD91,"Pass")</f>
        <v>#REF!</v>
      </c>
      <c r="AH91" s="18"/>
      <c r="AI91" s="447" t="e">
        <f t="shared" ref="AI91:AI99" si="158">IF($E91&lt;=IF($B$2="mil",1,0.0254)*50,"Pass",IF($B$2="mil",1,0.0254)*50-$E91)</f>
        <v>#REF!</v>
      </c>
      <c r="AJ91" s="447" t="e">
        <f t="shared" ref="AJ91:AJ99" si="159">IF($F91&lt;=IF($B$2="mil",1,0.0254)*500,"Pass",IF($B$2="mil",1,0.0254)*500-$F91)</f>
        <v>#REF!</v>
      </c>
      <c r="AK91" s="447" t="e">
        <f t="shared" ref="AK91:AK99" si="160">IF(($G91+$H91)&lt;=IF($B$2="mil",1,0.0254)*2750,"Pass",IF($B$2="mil",1,0.0254)*2750-($G91+D91))</f>
        <v>#REF!</v>
      </c>
      <c r="AL91" s="447" t="e">
        <f t="shared" ref="AL91:AL99" si="161">IF($I91&lt;=IF($B$2="mil",1,0.0254)*125,"Pass",IF($B$2="mil",1,0.0254)*125-$I91)</f>
        <v>#REF!</v>
      </c>
      <c r="AM91" s="447" t="e">
        <f t="shared" ref="AM91:AM99" si="162">IF($K91&lt;=IF($B$2="mil",1,0.0254)*125,"Pass",IF($B$2="mil",1,0.0254)*125-$K91)</f>
        <v>#REF!</v>
      </c>
      <c r="AN91" s="447" t="e">
        <f t="shared" ref="AN91:AN99" si="163">IF(($K91+$L91)&lt;=IF($B$2="mil",1,0.0254)*1350,"Pass",IF($B$2="mil",1,0.0254)*1350-($K91+L91))</f>
        <v>#REF!</v>
      </c>
      <c r="AO91" s="447" t="e">
        <f t="shared" ref="AO91:AO99" si="164">IF($M91&lt;=IF($B$2="mil",1,0.0254)*650,"Pass",IF($B$2="mil",1,0.0254)*650-$M91)</f>
        <v>#REF!</v>
      </c>
      <c r="AP91" s="447" t="e">
        <f t="shared" ref="AP91:AP99" si="165">IF($N91&lt;=IF($B$2="mil",1,0.0254)*650,"Pass",IF($B$2="mil",1,0.0254)*650-$N91)</f>
        <v>#REF!</v>
      </c>
      <c r="AQ91" s="445" t="e">
        <f t="shared" ref="AQ91:AQ99" si="166">IF(MAX(M91:N91)-MIN(M91:N91)&lt;=IF($B$2="mil",1,0.0254)*50,"Pass",MAX(M91:N91)-MIN(M91:N91)-IF($B$2="mil",1,0.0254)*50)</f>
        <v>#REF!</v>
      </c>
      <c r="AR91" s="447" t="e">
        <f t="shared" ref="AR91:AR99" ca="1" si="167">CheckLength2(IF($B$2="mil",1,0.0254)*800,$O91,M91,0)</f>
        <v>#NAME?</v>
      </c>
      <c r="AS91" s="447" t="e">
        <f t="shared" ref="AS91:AS99" ca="1" si="168">CheckLength2(IF($B$2="mil",1,0.0254)*800,$P91,N91,0)</f>
        <v>#NAME?</v>
      </c>
      <c r="AT91" s="447" t="e">
        <f t="shared" ref="AT91:AT99" si="169">IF(AND($S91&gt;=IF($B$2="mil",1,0.0254)*500, $S91&lt;=IF($B$2="mil",1,0.0254)*5500),"Pass",IF($B$2="mil",1,0.0254)*5500-$S91)</f>
        <v>#REF!</v>
      </c>
      <c r="AU91" s="447" t="e">
        <f t="shared" ref="AU91:AU99" si="170">IF(AND($T91&gt;=IF($B$2="mil",1,0.0254)*500, $T91&lt;=IF($B$2="mil",1,0.0254)*6000),"Pass",IF($B$2="mil",1,0.0254)*6000-$T91)</f>
        <v>#REF!</v>
      </c>
      <c r="AV91" s="18"/>
      <c r="AW91" s="82" t="e">
        <f ca="1">IF(AND(AF91="Pass",AG91="Pass",AI91="Pass",AJ91="Pass",AS91="Pass",AN91="Pass",AO91="Pass",AP91="Pass",AQ91="Pass",AR91="Pass",AM91="Pass",AL91="Pass",AK91="Pass",X91="Pass",Y91="Pass",AT91="Pass",AU91="Pass"),"Pass","Fail")</f>
        <v>#REF!</v>
      </c>
      <c r="AX91" s="2" t="e">
        <f ca="1">IF(AND(AW91="Pass",AW92="Pass",AW93="Pass",AW94="Pass",AW95="Pass",AW96="Pass",AW97="Pass",AW98="Pass",AW99="Pass"),"Pass","Fail")</f>
        <v>#REF!</v>
      </c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</row>
    <row r="92" spans="1:65" x14ac:dyDescent="0.2">
      <c r="A92" s="560" t="s">
        <v>232</v>
      </c>
      <c r="B92" s="589" t="s">
        <v>165</v>
      </c>
      <c r="C92" s="584">
        <v>680.03937007874015</v>
      </c>
      <c r="D92" s="16"/>
      <c r="E92" s="17">
        <v>22.63</v>
      </c>
      <c r="F92" s="17">
        <v>0</v>
      </c>
      <c r="G92">
        <v>1260</v>
      </c>
      <c r="H92">
        <v>765</v>
      </c>
      <c r="I92">
        <v>85.78</v>
      </c>
      <c r="J92" s="17">
        <v>40</v>
      </c>
      <c r="K92">
        <v>42.23</v>
      </c>
      <c r="L92">
        <v>1216.4100000000001</v>
      </c>
      <c r="M92" s="271">
        <v>0</v>
      </c>
      <c r="N92" s="271">
        <v>0</v>
      </c>
      <c r="O92">
        <v>22.26</v>
      </c>
      <c r="P92">
        <v>22.23</v>
      </c>
      <c r="Q92" s="58"/>
      <c r="R92" s="18"/>
      <c r="S92" s="441">
        <f t="shared" si="154"/>
        <v>3454.3100000000004</v>
      </c>
      <c r="T92" s="441" t="e">
        <f t="shared" ref="T92:T99" si="171">S92+IF($B$2="mil",1,0.0254)*$C92</f>
        <v>#REF!</v>
      </c>
      <c r="U92" s="441" t="e">
        <f>MAX(U$89:U$90)+IF($B$2="mil",1,0.0254)*DDR2Specs!$E$3</f>
        <v>#REF!</v>
      </c>
      <c r="V92" s="441" t="e">
        <f>MIN(U$89:U$90)+IF($B$2="mil",1,0.0254)*DDR2Specs!$F$3</f>
        <v>#REF!</v>
      </c>
      <c r="W92" s="18"/>
      <c r="X92" s="534" t="e">
        <f t="shared" si="155"/>
        <v>#REF!</v>
      </c>
      <c r="Y92" s="447" t="e">
        <f t="shared" si="156"/>
        <v>#REF!</v>
      </c>
      <c r="Z92" s="18"/>
      <c r="AA92" s="441">
        <f t="shared" si="157"/>
        <v>3454.28</v>
      </c>
      <c r="AB92" s="441" t="e">
        <f t="shared" ref="AB92:AB99" si="172">AA92+IF($B$2="mil",1,0.0254)*$C92</f>
        <v>#REF!</v>
      </c>
      <c r="AC92" s="441" t="e">
        <f>MAX(AC$89:AC$90)+IF($B$2="mil",1,0.0254)*DDR2Specs!$E$3</f>
        <v>#REF!</v>
      </c>
      <c r="AD92" s="441" t="e">
        <f>MIN(AC$89:AC$90)+IF($B$2="mil",1,0.0254)*DDR2Specs!$F$3</f>
        <v>#REF!</v>
      </c>
      <c r="AE92" s="18"/>
      <c r="AF92" s="534" t="e">
        <f t="shared" ref="AF92:AF99" si="173">IF($AB92&lt;$AC92,$AC92-$AB92,"Pass")</f>
        <v>#REF!</v>
      </c>
      <c r="AG92" s="447" t="e">
        <f t="shared" ref="AG92:AG99" si="174">IF($AB92&gt;$AD92,$AB92-$AD92,"Pass")</f>
        <v>#REF!</v>
      </c>
      <c r="AH92" s="18"/>
      <c r="AI92" s="447" t="e">
        <f t="shared" si="158"/>
        <v>#REF!</v>
      </c>
      <c r="AJ92" s="447" t="e">
        <f t="shared" si="159"/>
        <v>#REF!</v>
      </c>
      <c r="AK92" s="447" t="e">
        <f t="shared" si="160"/>
        <v>#REF!</v>
      </c>
      <c r="AL92" s="447" t="e">
        <f t="shared" si="161"/>
        <v>#REF!</v>
      </c>
      <c r="AM92" s="447" t="e">
        <f t="shared" si="162"/>
        <v>#REF!</v>
      </c>
      <c r="AN92" s="447" t="e">
        <f t="shared" si="163"/>
        <v>#REF!</v>
      </c>
      <c r="AO92" s="447" t="e">
        <f t="shared" si="164"/>
        <v>#REF!</v>
      </c>
      <c r="AP92" s="447" t="e">
        <f t="shared" si="165"/>
        <v>#REF!</v>
      </c>
      <c r="AQ92" s="445" t="e">
        <f>IF(MAX(M92:N92)-MIN(M92:N92)&lt;=IF($B$2="mil",1,0.0254)*50,"Pass",MAX(M92:N92)-MIN(M92:N92)-IF($B$2="mil",1,0.0254)*50)</f>
        <v>#REF!</v>
      </c>
      <c r="AR92" s="447" t="e">
        <f t="shared" ca="1" si="167"/>
        <v>#NAME?</v>
      </c>
      <c r="AS92" s="447" t="e">
        <f t="shared" ca="1" si="168"/>
        <v>#NAME?</v>
      </c>
      <c r="AT92" s="447" t="e">
        <f t="shared" si="169"/>
        <v>#REF!</v>
      </c>
      <c r="AU92" s="447" t="e">
        <f t="shared" si="170"/>
        <v>#REF!</v>
      </c>
      <c r="AV92" s="18"/>
      <c r="AW92" s="82" t="e">
        <f t="shared" ref="AW92:AW99" ca="1" si="175">IF(AND(AF92="Pass",AG92="Pass",AI92="Pass",AJ92="Pass",AS92="Pass",AN92="Pass",AO92="Pass",AP92="Pass",AQ92="Pass",AR92="Pass",AM92="Pass",AL92="Pass",AK92="Pass",X92="Pass",Y92="Pass",AT92="Pass",AU92="Pass"),"Pass","Fail")</f>
        <v>#REF!</v>
      </c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</row>
    <row r="93" spans="1:65" x14ac:dyDescent="0.2">
      <c r="A93" s="560" t="s">
        <v>233</v>
      </c>
      <c r="B93" s="589" t="s">
        <v>540</v>
      </c>
      <c r="C93" s="584">
        <v>657.40157480314963</v>
      </c>
      <c r="D93" s="16"/>
      <c r="E93" s="17">
        <v>22.63</v>
      </c>
      <c r="F93" s="17">
        <v>0</v>
      </c>
      <c r="G93">
        <v>1240</v>
      </c>
      <c r="H93">
        <v>795</v>
      </c>
      <c r="I93">
        <v>81.64</v>
      </c>
      <c r="J93" s="17">
        <v>40</v>
      </c>
      <c r="K93">
        <v>85.78</v>
      </c>
      <c r="L93">
        <v>1188.9100000000001</v>
      </c>
      <c r="M93" s="271">
        <v>0</v>
      </c>
      <c r="N93" s="271">
        <v>0</v>
      </c>
      <c r="O93">
        <v>22.28</v>
      </c>
      <c r="P93">
        <v>22.25</v>
      </c>
      <c r="Q93" s="58"/>
      <c r="R93" s="18"/>
      <c r="S93" s="441">
        <f t="shared" si="154"/>
        <v>3476.2400000000002</v>
      </c>
      <c r="T93" s="441" t="e">
        <f t="shared" si="171"/>
        <v>#REF!</v>
      </c>
      <c r="U93" s="441" t="e">
        <f>MAX(U$89:U$90)+IF($B$2="mil",1,0.0254)*DDR2Specs!$E$3</f>
        <v>#REF!</v>
      </c>
      <c r="V93" s="441" t="e">
        <f>MIN(U$89:U$90)+IF($B$2="mil",1,0.0254)*DDR2Specs!$F$3</f>
        <v>#REF!</v>
      </c>
      <c r="W93" s="18"/>
      <c r="X93" s="534" t="e">
        <f t="shared" si="155"/>
        <v>#REF!</v>
      </c>
      <c r="Y93" s="447" t="e">
        <f t="shared" si="156"/>
        <v>#REF!</v>
      </c>
      <c r="Z93" s="18"/>
      <c r="AA93" s="441">
        <f t="shared" si="157"/>
        <v>3476.21</v>
      </c>
      <c r="AB93" s="441" t="e">
        <f t="shared" si="172"/>
        <v>#REF!</v>
      </c>
      <c r="AC93" s="441" t="e">
        <f>MAX(AC$89:AC$90)+IF($B$2="mil",1,0.0254)*DDR2Specs!$E$3</f>
        <v>#REF!</v>
      </c>
      <c r="AD93" s="441" t="e">
        <f>MIN(AC$89:AC$90)+IF($B$2="mil",1,0.0254)*DDR2Specs!$F$3</f>
        <v>#REF!</v>
      </c>
      <c r="AE93" s="18"/>
      <c r="AF93" s="534" t="e">
        <f t="shared" si="173"/>
        <v>#REF!</v>
      </c>
      <c r="AG93" s="447" t="e">
        <f t="shared" si="174"/>
        <v>#REF!</v>
      </c>
      <c r="AH93" s="18"/>
      <c r="AI93" s="447" t="e">
        <f t="shared" si="158"/>
        <v>#REF!</v>
      </c>
      <c r="AJ93" s="447" t="e">
        <f t="shared" si="159"/>
        <v>#REF!</v>
      </c>
      <c r="AK93" s="447" t="e">
        <f t="shared" si="160"/>
        <v>#REF!</v>
      </c>
      <c r="AL93" s="447" t="e">
        <f t="shared" si="161"/>
        <v>#REF!</v>
      </c>
      <c r="AM93" s="447" t="e">
        <f t="shared" si="162"/>
        <v>#REF!</v>
      </c>
      <c r="AN93" s="447" t="e">
        <f t="shared" si="163"/>
        <v>#REF!</v>
      </c>
      <c r="AO93" s="447" t="e">
        <f t="shared" si="164"/>
        <v>#REF!</v>
      </c>
      <c r="AP93" s="447" t="e">
        <f t="shared" si="165"/>
        <v>#REF!</v>
      </c>
      <c r="AQ93" s="445" t="e">
        <f t="shared" si="166"/>
        <v>#REF!</v>
      </c>
      <c r="AR93" s="447" t="e">
        <f t="shared" ca="1" si="167"/>
        <v>#NAME?</v>
      </c>
      <c r="AS93" s="447" t="e">
        <f t="shared" ca="1" si="168"/>
        <v>#NAME?</v>
      </c>
      <c r="AT93" s="447" t="e">
        <f t="shared" si="169"/>
        <v>#REF!</v>
      </c>
      <c r="AU93" s="447" t="e">
        <f t="shared" si="170"/>
        <v>#REF!</v>
      </c>
      <c r="AV93" s="18"/>
      <c r="AW93" s="82" t="e">
        <f t="shared" ca="1" si="175"/>
        <v>#REF!</v>
      </c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</row>
    <row r="94" spans="1:65" x14ac:dyDescent="0.2">
      <c r="A94" s="560" t="s">
        <v>234</v>
      </c>
      <c r="B94" s="589" t="s">
        <v>65</v>
      </c>
      <c r="C94" s="584">
        <v>678.70078740157487</v>
      </c>
      <c r="D94" s="16"/>
      <c r="E94" s="17">
        <v>22.63</v>
      </c>
      <c r="F94" s="17">
        <v>0</v>
      </c>
      <c r="G94">
        <v>1222</v>
      </c>
      <c r="H94">
        <v>800</v>
      </c>
      <c r="I94">
        <v>85.78</v>
      </c>
      <c r="J94" s="17">
        <v>40</v>
      </c>
      <c r="K94">
        <v>44.57</v>
      </c>
      <c r="L94">
        <v>1219.69</v>
      </c>
      <c r="M94" s="271">
        <v>0</v>
      </c>
      <c r="N94" s="271">
        <v>0</v>
      </c>
      <c r="O94">
        <v>22.25</v>
      </c>
      <c r="P94">
        <v>22.28</v>
      </c>
      <c r="Q94" s="58"/>
      <c r="R94" s="18"/>
      <c r="S94" s="441">
        <f t="shared" si="154"/>
        <v>3456.9200000000005</v>
      </c>
      <c r="T94" s="441" t="e">
        <f t="shared" si="171"/>
        <v>#REF!</v>
      </c>
      <c r="U94" s="441" t="e">
        <f>MAX(U$89:U$90)+IF($B$2="mil",1,0.0254)*DDR2Specs!$E$3</f>
        <v>#REF!</v>
      </c>
      <c r="V94" s="441" t="e">
        <f>MIN(U$89:U$90)+IF($B$2="mil",1,0.0254)*DDR2Specs!$F$3</f>
        <v>#REF!</v>
      </c>
      <c r="W94" s="18"/>
      <c r="X94" s="534" t="e">
        <f t="shared" si="155"/>
        <v>#REF!</v>
      </c>
      <c r="Y94" s="447" t="e">
        <f t="shared" si="156"/>
        <v>#REF!</v>
      </c>
      <c r="Z94" s="18"/>
      <c r="AA94" s="441">
        <f t="shared" si="157"/>
        <v>3456.9500000000007</v>
      </c>
      <c r="AB94" s="441" t="e">
        <f t="shared" si="172"/>
        <v>#REF!</v>
      </c>
      <c r="AC94" s="441" t="e">
        <f>MAX(AC$89:AC$90)+IF($B$2="mil",1,0.0254)*DDR2Specs!$E$3</f>
        <v>#REF!</v>
      </c>
      <c r="AD94" s="441" t="e">
        <f>MIN(AC$89:AC$90)+IF($B$2="mil",1,0.0254)*DDR2Specs!$F$3</f>
        <v>#REF!</v>
      </c>
      <c r="AE94" s="18"/>
      <c r="AF94" s="534" t="e">
        <f t="shared" si="173"/>
        <v>#REF!</v>
      </c>
      <c r="AG94" s="447" t="e">
        <f t="shared" si="174"/>
        <v>#REF!</v>
      </c>
      <c r="AH94" s="18"/>
      <c r="AI94" s="447" t="e">
        <f t="shared" si="158"/>
        <v>#REF!</v>
      </c>
      <c r="AJ94" s="447" t="e">
        <f t="shared" si="159"/>
        <v>#REF!</v>
      </c>
      <c r="AK94" s="447" t="e">
        <f t="shared" si="160"/>
        <v>#REF!</v>
      </c>
      <c r="AL94" s="447" t="e">
        <f t="shared" si="161"/>
        <v>#REF!</v>
      </c>
      <c r="AM94" s="447" t="e">
        <f t="shared" si="162"/>
        <v>#REF!</v>
      </c>
      <c r="AN94" s="447" t="e">
        <f t="shared" si="163"/>
        <v>#REF!</v>
      </c>
      <c r="AO94" s="447" t="e">
        <f t="shared" si="164"/>
        <v>#REF!</v>
      </c>
      <c r="AP94" s="447" t="e">
        <f t="shared" si="165"/>
        <v>#REF!</v>
      </c>
      <c r="AQ94" s="445" t="e">
        <f t="shared" si="166"/>
        <v>#REF!</v>
      </c>
      <c r="AR94" s="447" t="e">
        <f t="shared" ca="1" si="167"/>
        <v>#NAME?</v>
      </c>
      <c r="AS94" s="447" t="e">
        <f t="shared" ca="1" si="168"/>
        <v>#NAME?</v>
      </c>
      <c r="AT94" s="447" t="e">
        <f t="shared" si="169"/>
        <v>#REF!</v>
      </c>
      <c r="AU94" s="447" t="e">
        <f t="shared" si="170"/>
        <v>#REF!</v>
      </c>
      <c r="AV94" s="18"/>
      <c r="AW94" s="82" t="e">
        <f t="shared" ca="1" si="175"/>
        <v>#REF!</v>
      </c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</row>
    <row r="95" spans="1:65" x14ac:dyDescent="0.2">
      <c r="A95" s="560" t="s">
        <v>235</v>
      </c>
      <c r="B95" s="589" t="s">
        <v>541</v>
      </c>
      <c r="C95" s="584">
        <v>732.83464566929138</v>
      </c>
      <c r="D95" s="16"/>
      <c r="E95" s="17">
        <v>22.63</v>
      </c>
      <c r="F95" s="17">
        <v>0</v>
      </c>
      <c r="G95">
        <v>1130</v>
      </c>
      <c r="H95">
        <v>790.77</v>
      </c>
      <c r="I95">
        <v>81.64</v>
      </c>
      <c r="J95" s="17">
        <v>40</v>
      </c>
      <c r="K95">
        <v>29.57</v>
      </c>
      <c r="L95">
        <v>1245.1600000000001</v>
      </c>
      <c r="M95" s="271">
        <v>0</v>
      </c>
      <c r="N95" s="271">
        <v>0</v>
      </c>
      <c r="O95">
        <v>64.760000000000005</v>
      </c>
      <c r="P95">
        <v>64.790000000000006</v>
      </c>
      <c r="Q95" s="58"/>
      <c r="R95" s="18"/>
      <c r="S95" s="441">
        <f t="shared" si="154"/>
        <v>3404.5300000000007</v>
      </c>
      <c r="T95" s="441" t="e">
        <f t="shared" si="171"/>
        <v>#REF!</v>
      </c>
      <c r="U95" s="441" t="e">
        <f>MAX(U$89:U$90)+IF($B$2="mil",1,0.0254)*DDR2Specs!$E$3</f>
        <v>#REF!</v>
      </c>
      <c r="V95" s="441" t="e">
        <f>MIN(U$89:U$90)+IF($B$2="mil",1,0.0254)*DDR2Specs!$F$3</f>
        <v>#REF!</v>
      </c>
      <c r="W95" s="18"/>
      <c r="X95" s="534" t="e">
        <f t="shared" si="155"/>
        <v>#REF!</v>
      </c>
      <c r="Y95" s="447" t="e">
        <f t="shared" si="156"/>
        <v>#REF!</v>
      </c>
      <c r="Z95" s="18"/>
      <c r="AA95" s="441">
        <f t="shared" si="157"/>
        <v>3404.5600000000004</v>
      </c>
      <c r="AB95" s="441" t="e">
        <f t="shared" si="172"/>
        <v>#REF!</v>
      </c>
      <c r="AC95" s="441" t="e">
        <f>MAX(AC$89:AC$90)+IF($B$2="mil",1,0.0254)*DDR2Specs!$E$3</f>
        <v>#REF!</v>
      </c>
      <c r="AD95" s="441" t="e">
        <f>MIN(AC$89:AC$90)+IF($B$2="mil",1,0.0254)*DDR2Specs!$F$3</f>
        <v>#REF!</v>
      </c>
      <c r="AE95" s="18"/>
      <c r="AF95" s="534" t="e">
        <f t="shared" si="173"/>
        <v>#REF!</v>
      </c>
      <c r="AG95" s="447" t="e">
        <f t="shared" si="174"/>
        <v>#REF!</v>
      </c>
      <c r="AH95" s="18"/>
      <c r="AI95" s="447" t="e">
        <f t="shared" si="158"/>
        <v>#REF!</v>
      </c>
      <c r="AJ95" s="447" t="e">
        <f t="shared" si="159"/>
        <v>#REF!</v>
      </c>
      <c r="AK95" s="447" t="e">
        <f t="shared" si="160"/>
        <v>#REF!</v>
      </c>
      <c r="AL95" s="447" t="e">
        <f t="shared" si="161"/>
        <v>#REF!</v>
      </c>
      <c r="AM95" s="447" t="e">
        <f t="shared" si="162"/>
        <v>#REF!</v>
      </c>
      <c r="AN95" s="447" t="e">
        <f t="shared" si="163"/>
        <v>#REF!</v>
      </c>
      <c r="AO95" s="447" t="e">
        <f t="shared" si="164"/>
        <v>#REF!</v>
      </c>
      <c r="AP95" s="447" t="e">
        <f t="shared" si="165"/>
        <v>#REF!</v>
      </c>
      <c r="AQ95" s="445" t="e">
        <f t="shared" si="166"/>
        <v>#REF!</v>
      </c>
      <c r="AR95" s="447" t="e">
        <f t="shared" ca="1" si="167"/>
        <v>#NAME?</v>
      </c>
      <c r="AS95" s="447" t="e">
        <f t="shared" ca="1" si="168"/>
        <v>#NAME?</v>
      </c>
      <c r="AT95" s="447" t="e">
        <f t="shared" si="169"/>
        <v>#REF!</v>
      </c>
      <c r="AU95" s="447" t="e">
        <f t="shared" si="170"/>
        <v>#REF!</v>
      </c>
      <c r="AV95" s="18"/>
      <c r="AW95" s="82" t="e">
        <f t="shared" ca="1" si="175"/>
        <v>#REF!</v>
      </c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</row>
    <row r="96" spans="1:65" x14ac:dyDescent="0.2">
      <c r="A96" s="560" t="s">
        <v>236</v>
      </c>
      <c r="B96" s="589" t="s">
        <v>542</v>
      </c>
      <c r="C96" s="584">
        <v>573.50393700787401</v>
      </c>
      <c r="D96" s="16"/>
      <c r="E96" s="17">
        <v>22.63</v>
      </c>
      <c r="F96" s="17">
        <v>0</v>
      </c>
      <c r="G96">
        <v>1320</v>
      </c>
      <c r="H96">
        <v>811</v>
      </c>
      <c r="I96">
        <v>44.57</v>
      </c>
      <c r="J96" s="17">
        <v>40</v>
      </c>
      <c r="K96">
        <v>85.78</v>
      </c>
      <c r="L96">
        <v>1160.23</v>
      </c>
      <c r="M96" s="271">
        <v>0</v>
      </c>
      <c r="N96" s="271">
        <v>0</v>
      </c>
      <c r="O96">
        <v>76.06</v>
      </c>
      <c r="P96">
        <v>76.03</v>
      </c>
      <c r="Q96" s="58"/>
      <c r="R96" s="18"/>
      <c r="S96" s="441">
        <f t="shared" si="154"/>
        <v>3560.2700000000004</v>
      </c>
      <c r="T96" s="441" t="e">
        <f t="shared" si="171"/>
        <v>#REF!</v>
      </c>
      <c r="U96" s="441" t="e">
        <f>MAX(U$89:U$90)+IF($B$2="mil",1,0.0254)*DDR2Specs!$E$3</f>
        <v>#REF!</v>
      </c>
      <c r="V96" s="441" t="e">
        <f>MIN(U$89:U$90)+IF($B$2="mil",1,0.0254)*DDR2Specs!$F$3</f>
        <v>#REF!</v>
      </c>
      <c r="W96" s="18"/>
      <c r="X96" s="534" t="e">
        <f t="shared" si="155"/>
        <v>#REF!</v>
      </c>
      <c r="Y96" s="447" t="e">
        <f t="shared" si="156"/>
        <v>#REF!</v>
      </c>
      <c r="Z96" s="18"/>
      <c r="AA96" s="441">
        <f t="shared" si="157"/>
        <v>3560.2400000000007</v>
      </c>
      <c r="AB96" s="441" t="e">
        <f t="shared" si="172"/>
        <v>#REF!</v>
      </c>
      <c r="AC96" s="441" t="e">
        <f>MAX(AC$89:AC$90)+IF($B$2="mil",1,0.0254)*DDR2Specs!$E$3</f>
        <v>#REF!</v>
      </c>
      <c r="AD96" s="441" t="e">
        <f>MIN(AC$89:AC$90)+IF($B$2="mil",1,0.0254)*DDR2Specs!$F$3</f>
        <v>#REF!</v>
      </c>
      <c r="AE96" s="18"/>
      <c r="AF96" s="534" t="e">
        <f t="shared" si="173"/>
        <v>#REF!</v>
      </c>
      <c r="AG96" s="447" t="e">
        <f t="shared" si="174"/>
        <v>#REF!</v>
      </c>
      <c r="AH96" s="18"/>
      <c r="AI96" s="447" t="e">
        <f t="shared" si="158"/>
        <v>#REF!</v>
      </c>
      <c r="AJ96" s="447" t="e">
        <f t="shared" si="159"/>
        <v>#REF!</v>
      </c>
      <c r="AK96" s="447" t="e">
        <f t="shared" si="160"/>
        <v>#REF!</v>
      </c>
      <c r="AL96" s="447" t="e">
        <f t="shared" si="161"/>
        <v>#REF!</v>
      </c>
      <c r="AM96" s="447" t="e">
        <f t="shared" si="162"/>
        <v>#REF!</v>
      </c>
      <c r="AN96" s="447" t="e">
        <f t="shared" si="163"/>
        <v>#REF!</v>
      </c>
      <c r="AO96" s="447" t="e">
        <f t="shared" si="164"/>
        <v>#REF!</v>
      </c>
      <c r="AP96" s="447" t="e">
        <f t="shared" si="165"/>
        <v>#REF!</v>
      </c>
      <c r="AQ96" s="445" t="e">
        <f t="shared" si="166"/>
        <v>#REF!</v>
      </c>
      <c r="AR96" s="447" t="e">
        <f t="shared" ca="1" si="167"/>
        <v>#NAME?</v>
      </c>
      <c r="AS96" s="447" t="e">
        <f t="shared" ca="1" si="168"/>
        <v>#NAME?</v>
      </c>
      <c r="AT96" s="447" t="e">
        <f t="shared" si="169"/>
        <v>#REF!</v>
      </c>
      <c r="AU96" s="447" t="e">
        <f t="shared" si="170"/>
        <v>#REF!</v>
      </c>
      <c r="AV96" s="18"/>
      <c r="AW96" s="82" t="e">
        <f t="shared" ca="1" si="175"/>
        <v>#REF!</v>
      </c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</row>
    <row r="97" spans="1:65" x14ac:dyDescent="0.2">
      <c r="A97" s="560" t="s">
        <v>237</v>
      </c>
      <c r="B97" s="589" t="s">
        <v>390</v>
      </c>
      <c r="C97" s="584">
        <v>629.48818897637796</v>
      </c>
      <c r="D97" s="16"/>
      <c r="E97" s="17">
        <v>22.63</v>
      </c>
      <c r="F97" s="17">
        <v>0</v>
      </c>
      <c r="G97">
        <v>1300</v>
      </c>
      <c r="H97">
        <v>776</v>
      </c>
      <c r="I97">
        <v>85.78</v>
      </c>
      <c r="J97" s="17">
        <v>40</v>
      </c>
      <c r="K97">
        <v>85.78</v>
      </c>
      <c r="L97">
        <v>1169.1199999999999</v>
      </c>
      <c r="M97" s="271">
        <v>0</v>
      </c>
      <c r="N97" s="271">
        <v>0</v>
      </c>
      <c r="O97">
        <v>25.06</v>
      </c>
      <c r="P97">
        <v>25.09</v>
      </c>
      <c r="Q97" s="58"/>
      <c r="R97" s="18"/>
      <c r="S97" s="441">
        <f t="shared" si="154"/>
        <v>3504.3700000000003</v>
      </c>
      <c r="T97" s="441" t="e">
        <f t="shared" si="171"/>
        <v>#REF!</v>
      </c>
      <c r="U97" s="441" t="e">
        <f>MAX(U$89:U$90)+IF($B$2="mil",1,0.0254)*DDR2Specs!$E$3</f>
        <v>#REF!</v>
      </c>
      <c r="V97" s="441" t="e">
        <f>MIN(U$89:U$90)+IF($B$2="mil",1,0.0254)*DDR2Specs!$F$3</f>
        <v>#REF!</v>
      </c>
      <c r="W97" s="18"/>
      <c r="X97" s="534" t="e">
        <f t="shared" si="155"/>
        <v>#REF!</v>
      </c>
      <c r="Y97" s="447" t="e">
        <f t="shared" si="156"/>
        <v>#REF!</v>
      </c>
      <c r="Z97" s="18"/>
      <c r="AA97" s="441">
        <f t="shared" si="157"/>
        <v>3504.4000000000005</v>
      </c>
      <c r="AB97" s="441" t="e">
        <f t="shared" si="172"/>
        <v>#REF!</v>
      </c>
      <c r="AC97" s="441" t="e">
        <f>MAX(AC$89:AC$90)+IF($B$2="mil",1,0.0254)*DDR2Specs!$E$3</f>
        <v>#REF!</v>
      </c>
      <c r="AD97" s="441" t="e">
        <f>MIN(AC$89:AC$90)+IF($B$2="mil",1,0.0254)*DDR2Specs!$F$3</f>
        <v>#REF!</v>
      </c>
      <c r="AE97" s="18"/>
      <c r="AF97" s="534" t="e">
        <f t="shared" si="173"/>
        <v>#REF!</v>
      </c>
      <c r="AG97" s="447" t="e">
        <f t="shared" si="174"/>
        <v>#REF!</v>
      </c>
      <c r="AH97" s="18"/>
      <c r="AI97" s="447" t="e">
        <f t="shared" si="158"/>
        <v>#REF!</v>
      </c>
      <c r="AJ97" s="447" t="e">
        <f t="shared" si="159"/>
        <v>#REF!</v>
      </c>
      <c r="AK97" s="447" t="e">
        <f t="shared" si="160"/>
        <v>#REF!</v>
      </c>
      <c r="AL97" s="447" t="e">
        <f t="shared" si="161"/>
        <v>#REF!</v>
      </c>
      <c r="AM97" s="447" t="e">
        <f t="shared" si="162"/>
        <v>#REF!</v>
      </c>
      <c r="AN97" s="447" t="e">
        <f t="shared" si="163"/>
        <v>#REF!</v>
      </c>
      <c r="AO97" s="447" t="e">
        <f t="shared" si="164"/>
        <v>#REF!</v>
      </c>
      <c r="AP97" s="447" t="e">
        <f t="shared" si="165"/>
        <v>#REF!</v>
      </c>
      <c r="AQ97" s="445" t="e">
        <f t="shared" si="166"/>
        <v>#REF!</v>
      </c>
      <c r="AR97" s="447" t="e">
        <f t="shared" ca="1" si="167"/>
        <v>#NAME?</v>
      </c>
      <c r="AS97" s="447" t="e">
        <f t="shared" ca="1" si="168"/>
        <v>#NAME?</v>
      </c>
      <c r="AT97" s="447" t="e">
        <f t="shared" si="169"/>
        <v>#REF!</v>
      </c>
      <c r="AU97" s="447" t="e">
        <f t="shared" si="170"/>
        <v>#REF!</v>
      </c>
      <c r="AV97" s="18"/>
      <c r="AW97" s="82" t="e">
        <f t="shared" ca="1" si="175"/>
        <v>#REF!</v>
      </c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</row>
    <row r="98" spans="1:65" x14ac:dyDescent="0.2">
      <c r="A98" s="560" t="s">
        <v>238</v>
      </c>
      <c r="B98" s="589" t="s">
        <v>543</v>
      </c>
      <c r="C98" s="584">
        <v>637.44094488188978</v>
      </c>
      <c r="D98" s="16"/>
      <c r="E98" s="17">
        <v>22.63</v>
      </c>
      <c r="F98" s="17">
        <v>0</v>
      </c>
      <c r="G98">
        <v>1280</v>
      </c>
      <c r="H98">
        <v>822</v>
      </c>
      <c r="I98">
        <v>44.57</v>
      </c>
      <c r="J98" s="17">
        <v>40</v>
      </c>
      <c r="K98">
        <v>44.57</v>
      </c>
      <c r="L98">
        <v>1219.02</v>
      </c>
      <c r="M98" s="271">
        <v>0</v>
      </c>
      <c r="N98" s="271">
        <v>0</v>
      </c>
      <c r="O98">
        <v>23.59</v>
      </c>
      <c r="P98">
        <v>23.56</v>
      </c>
      <c r="Q98" s="58"/>
      <c r="R98" s="18"/>
      <c r="S98" s="441">
        <f t="shared" si="154"/>
        <v>3496.3800000000006</v>
      </c>
      <c r="T98" s="441" t="e">
        <f t="shared" si="171"/>
        <v>#REF!</v>
      </c>
      <c r="U98" s="441" t="e">
        <f>MAX(U$89:U$90)+IF($B$2="mil",1,0.0254)*DDR2Specs!$E$3</f>
        <v>#REF!</v>
      </c>
      <c r="V98" s="441" t="e">
        <f>MIN(U$89:U$90)+IF($B$2="mil",1,0.0254)*DDR2Specs!$F$3</f>
        <v>#REF!</v>
      </c>
      <c r="W98" s="18"/>
      <c r="X98" s="534" t="e">
        <f t="shared" si="155"/>
        <v>#REF!</v>
      </c>
      <c r="Y98" s="447" t="e">
        <f t="shared" si="156"/>
        <v>#REF!</v>
      </c>
      <c r="Z98" s="18"/>
      <c r="AA98" s="441">
        <f t="shared" si="157"/>
        <v>3496.3500000000004</v>
      </c>
      <c r="AB98" s="441" t="e">
        <f t="shared" si="172"/>
        <v>#REF!</v>
      </c>
      <c r="AC98" s="441" t="e">
        <f>MAX(AC$89:AC$90)+IF($B$2="mil",1,0.0254)*DDR2Specs!$E$3</f>
        <v>#REF!</v>
      </c>
      <c r="AD98" s="441" t="e">
        <f>MIN(AC$89:AC$90)+IF($B$2="mil",1,0.0254)*DDR2Specs!$F$3</f>
        <v>#REF!</v>
      </c>
      <c r="AE98" s="18"/>
      <c r="AF98" s="534" t="e">
        <f t="shared" si="173"/>
        <v>#REF!</v>
      </c>
      <c r="AG98" s="447" t="e">
        <f t="shared" si="174"/>
        <v>#REF!</v>
      </c>
      <c r="AH98" s="18"/>
      <c r="AI98" s="447" t="e">
        <f t="shared" si="158"/>
        <v>#REF!</v>
      </c>
      <c r="AJ98" s="447" t="e">
        <f t="shared" si="159"/>
        <v>#REF!</v>
      </c>
      <c r="AK98" s="447" t="e">
        <f t="shared" si="160"/>
        <v>#REF!</v>
      </c>
      <c r="AL98" s="447" t="e">
        <f t="shared" si="161"/>
        <v>#REF!</v>
      </c>
      <c r="AM98" s="447" t="e">
        <f t="shared" si="162"/>
        <v>#REF!</v>
      </c>
      <c r="AN98" s="447" t="e">
        <f t="shared" si="163"/>
        <v>#REF!</v>
      </c>
      <c r="AO98" s="447" t="e">
        <f t="shared" si="164"/>
        <v>#REF!</v>
      </c>
      <c r="AP98" s="447" t="e">
        <f t="shared" si="165"/>
        <v>#REF!</v>
      </c>
      <c r="AQ98" s="445" t="e">
        <f t="shared" si="166"/>
        <v>#REF!</v>
      </c>
      <c r="AR98" s="447" t="e">
        <f t="shared" ca="1" si="167"/>
        <v>#NAME?</v>
      </c>
      <c r="AS98" s="447" t="e">
        <f t="shared" ca="1" si="168"/>
        <v>#NAME?</v>
      </c>
      <c r="AT98" s="447" t="e">
        <f t="shared" si="169"/>
        <v>#REF!</v>
      </c>
      <c r="AU98" s="447" t="e">
        <f t="shared" si="170"/>
        <v>#REF!</v>
      </c>
      <c r="AV98" s="18"/>
      <c r="AW98" s="82" t="e">
        <f t="shared" ca="1" si="175"/>
        <v>#REF!</v>
      </c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</row>
    <row r="99" spans="1:65" x14ac:dyDescent="0.2">
      <c r="A99" s="560" t="s">
        <v>239</v>
      </c>
      <c r="B99" s="590" t="s">
        <v>163</v>
      </c>
      <c r="C99" s="584">
        <v>711.69291338582684</v>
      </c>
      <c r="D99" s="16"/>
      <c r="E99" s="17">
        <v>22.63</v>
      </c>
      <c r="F99" s="17">
        <v>0</v>
      </c>
      <c r="G99">
        <v>1160</v>
      </c>
      <c r="H99">
        <v>785</v>
      </c>
      <c r="I99">
        <v>85.78</v>
      </c>
      <c r="J99" s="17">
        <v>40</v>
      </c>
      <c r="K99">
        <v>44.57</v>
      </c>
      <c r="L99">
        <v>1214.5899999999999</v>
      </c>
      <c r="M99" s="271">
        <v>0</v>
      </c>
      <c r="N99" s="271">
        <v>0</v>
      </c>
      <c r="O99">
        <v>72.97</v>
      </c>
      <c r="P99">
        <v>70.47</v>
      </c>
      <c r="Q99" s="58"/>
      <c r="R99" s="18"/>
      <c r="S99" s="441">
        <f t="shared" si="154"/>
        <v>3425.5400000000004</v>
      </c>
      <c r="T99" s="441" t="e">
        <f t="shared" si="171"/>
        <v>#REF!</v>
      </c>
      <c r="U99" s="441" t="e">
        <f>MAX(U$89:U$90)+IF($B$2="mil",1,0.0254)*DDR2Specs!$E$3</f>
        <v>#REF!</v>
      </c>
      <c r="V99" s="441" t="e">
        <f>MIN(U$89:U$90)+IF($B$2="mil",1,0.0254)*DDR2Specs!$F$3</f>
        <v>#REF!</v>
      </c>
      <c r="W99" s="18"/>
      <c r="X99" s="534" t="e">
        <f t="shared" si="155"/>
        <v>#REF!</v>
      </c>
      <c r="Y99" s="447" t="e">
        <f t="shared" si="156"/>
        <v>#REF!</v>
      </c>
      <c r="Z99" s="18"/>
      <c r="AA99" s="441">
        <f t="shared" si="157"/>
        <v>3423.0400000000004</v>
      </c>
      <c r="AB99" s="441" t="e">
        <f t="shared" si="172"/>
        <v>#REF!</v>
      </c>
      <c r="AC99" s="441" t="e">
        <f>MAX(AC$89:AC$90)+IF($B$2="mil",1,0.0254)*DDR2Specs!$E$3</f>
        <v>#REF!</v>
      </c>
      <c r="AD99" s="441" t="e">
        <f>MIN(AC$89:AC$90)+IF($B$2="mil",1,0.0254)*DDR2Specs!$F$3</f>
        <v>#REF!</v>
      </c>
      <c r="AE99" s="18"/>
      <c r="AF99" s="534" t="e">
        <f t="shared" si="173"/>
        <v>#REF!</v>
      </c>
      <c r="AG99" s="447" t="e">
        <f t="shared" si="174"/>
        <v>#REF!</v>
      </c>
      <c r="AH99" s="18"/>
      <c r="AI99" s="447" t="e">
        <f t="shared" si="158"/>
        <v>#REF!</v>
      </c>
      <c r="AJ99" s="447" t="e">
        <f t="shared" si="159"/>
        <v>#REF!</v>
      </c>
      <c r="AK99" s="447" t="e">
        <f t="shared" si="160"/>
        <v>#REF!</v>
      </c>
      <c r="AL99" s="447" t="e">
        <f t="shared" si="161"/>
        <v>#REF!</v>
      </c>
      <c r="AM99" s="447" t="e">
        <f t="shared" si="162"/>
        <v>#REF!</v>
      </c>
      <c r="AN99" s="447" t="e">
        <f t="shared" si="163"/>
        <v>#REF!</v>
      </c>
      <c r="AO99" s="447" t="e">
        <f t="shared" si="164"/>
        <v>#REF!</v>
      </c>
      <c r="AP99" s="447" t="e">
        <f t="shared" si="165"/>
        <v>#REF!</v>
      </c>
      <c r="AQ99" s="445" t="e">
        <f t="shared" si="166"/>
        <v>#REF!</v>
      </c>
      <c r="AR99" s="447" t="e">
        <f t="shared" ca="1" si="167"/>
        <v>#NAME?</v>
      </c>
      <c r="AS99" s="447" t="e">
        <f t="shared" ca="1" si="168"/>
        <v>#NAME?</v>
      </c>
      <c r="AT99" s="447" t="e">
        <f t="shared" si="169"/>
        <v>#REF!</v>
      </c>
      <c r="AU99" s="447" t="e">
        <f t="shared" si="170"/>
        <v>#REF!</v>
      </c>
      <c r="AV99" s="18"/>
      <c r="AW99" s="82" t="e">
        <f t="shared" ca="1" si="175"/>
        <v>#REF!</v>
      </c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</row>
    <row r="100" spans="1:65" ht="12.75" customHeight="1" x14ac:dyDescent="0.2">
      <c r="A100" s="99"/>
      <c r="B100" s="440"/>
      <c r="C100" s="440"/>
      <c r="D100" s="70"/>
      <c r="E100" s="71"/>
      <c r="F100" s="71"/>
      <c r="G100" s="71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71"/>
      <c r="S100" s="71"/>
      <c r="T100" s="71"/>
      <c r="U100" s="71"/>
      <c r="V100" s="71"/>
      <c r="W100" s="71"/>
      <c r="X100" s="545"/>
      <c r="Y100" s="546"/>
      <c r="Z100" s="71"/>
      <c r="AA100" s="71"/>
      <c r="AB100" s="71"/>
      <c r="AC100" s="71"/>
      <c r="AD100" s="71"/>
      <c r="AE100" s="71"/>
      <c r="AF100" s="545"/>
      <c r="AG100" s="546"/>
      <c r="AH100" s="71"/>
      <c r="AI100" s="546"/>
      <c r="AJ100" s="547"/>
      <c r="AK100" s="548"/>
      <c r="AL100" s="548"/>
      <c r="AM100" s="548"/>
      <c r="AN100" s="548"/>
      <c r="AO100" s="548"/>
      <c r="AP100" s="548"/>
      <c r="AQ100" s="548"/>
      <c r="AR100" s="548"/>
      <c r="AS100" s="548"/>
      <c r="AT100" s="548"/>
      <c r="AU100" s="548"/>
      <c r="AV100" s="18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</row>
    <row r="101" spans="1:65" ht="25.5" x14ac:dyDescent="0.35">
      <c r="A101" s="39" t="s">
        <v>57</v>
      </c>
      <c r="C101" s="4"/>
    </row>
    <row r="102" spans="1:65" x14ac:dyDescent="0.2">
      <c r="AA102"/>
      <c r="AB102"/>
    </row>
    <row r="103" spans="1:65" x14ac:dyDescent="0.2">
      <c r="S103"/>
      <c r="T103"/>
      <c r="AA103"/>
      <c r="AB103"/>
    </row>
    <row r="104" spans="1:65" x14ac:dyDescent="0.2">
      <c r="S104"/>
      <c r="T104"/>
      <c r="AA104"/>
      <c r="AB104"/>
    </row>
    <row r="105" spans="1:65" x14ac:dyDescent="0.2">
      <c r="S105"/>
      <c r="T105"/>
      <c r="AA105"/>
      <c r="AB105"/>
    </row>
    <row r="106" spans="1:65" x14ac:dyDescent="0.2">
      <c r="H106" s="2"/>
      <c r="I106" s="2"/>
      <c r="J106" s="2"/>
      <c r="K106" s="2"/>
      <c r="L106" s="2"/>
      <c r="M106" s="2"/>
      <c r="N106" s="2"/>
      <c r="O106" s="2"/>
      <c r="P106" s="2"/>
      <c r="S106"/>
      <c r="T106"/>
      <c r="AA106"/>
      <c r="AB106"/>
    </row>
    <row r="107" spans="1:65" x14ac:dyDescent="0.2">
      <c r="S107"/>
      <c r="T107"/>
      <c r="AA107"/>
      <c r="AB107"/>
    </row>
    <row r="108" spans="1:65" x14ac:dyDescent="0.2">
      <c r="S108"/>
      <c r="T108"/>
      <c r="AA108"/>
      <c r="AB108"/>
    </row>
    <row r="109" spans="1:65" x14ac:dyDescent="0.2">
      <c r="S109"/>
      <c r="T109"/>
    </row>
    <row r="110" spans="1:65" x14ac:dyDescent="0.2">
      <c r="S110"/>
      <c r="T110"/>
    </row>
    <row r="217" spans="3:3" x14ac:dyDescent="0.2">
      <c r="C217" s="68"/>
    </row>
  </sheetData>
  <protectedRanges>
    <protectedRange sqref="E79:P87 E91:P99 E43:P51 E55:P63 E19:P27 E31:P39 E67:P75 E7:P15" name="DDR2Data"/>
  </protectedRanges>
  <mergeCells count="2">
    <mergeCell ref="A1:D1"/>
    <mergeCell ref="E1:F1"/>
  </mergeCells>
  <phoneticPr fontId="25" type="noConversion"/>
  <conditionalFormatting sqref="A1:AV1">
    <cfRule type="expression" dxfId="47" priority="9" stopIfTrue="1">
      <formula>$E$1 = "Fail"</formula>
    </cfRule>
    <cfRule type="expression" dxfId="46" priority="10" stopIfTrue="1">
      <formula>$E$1 = "Pass"</formula>
    </cfRule>
  </conditionalFormatting>
  <conditionalFormatting sqref="T7:T15 AB7:AB15 T19:T27 AB19:AB27 T31:T39 AB31:AB39 T43:T51 AB43:AB51 T55:T63 AB55:AB63 T67:T75 AB67:AB75 T79:T87 AB79:AB87 T91:T99 AB91:AB99">
    <cfRule type="cellIs" dxfId="45" priority="5" stopIfTrue="1" operator="greaterThan">
      <formula>6250</formula>
    </cfRule>
    <cfRule type="cellIs" dxfId="44" priority="6" stopIfTrue="1" operator="lessThan">
      <formula>6250</formula>
    </cfRule>
  </conditionalFormatting>
  <conditionalFormatting sqref="X7:Y15 AF7:AG15 X19:Y27 AF19:AG27 X31:Y39 AF31:AG39 X43:Y51 AF43:AG51 X55:Y63 AF55:AG63 X67:Y75 AF67:AG75 X79:Y87 AF79:AG87 X91:Y99 AF91:AG99">
    <cfRule type="cellIs" priority="7" stopIfTrue="1" operator="equal">
      <formula>"Pass"</formula>
    </cfRule>
    <cfRule type="cellIs" dxfId="43" priority="8" stopIfTrue="1" operator="notEqual">
      <formula>"Pass"</formula>
    </cfRule>
  </conditionalFormatting>
  <conditionalFormatting sqref="AI7:AP15 AR7:AU15 AI19:AP27 AR19:AU27 AI31:AP39 AR31:AU39 AI43:AP51 AR43:AU51 AI55:AP63 AR55:AU63 AI67:AP75 AR67:AU75 AI79:AP87 AR79:AU87 AI91:AP99 AR91:AU99">
    <cfRule type="cellIs" dxfId="42" priority="2" stopIfTrue="1" operator="notEqual">
      <formula>"Pass"</formula>
    </cfRule>
  </conditionalFormatting>
  <conditionalFormatting sqref="AI7:AU15 AI19:AU27 AI31:AU39 AI43:AU51 AI55:AU63 AI67:AU75 AI79:AU87 AI91:AU99">
    <cfRule type="cellIs" dxfId="41" priority="1" stopIfTrue="1" operator="equal">
      <formula>"Pass"</formula>
    </cfRule>
  </conditionalFormatting>
  <conditionalFormatting sqref="AQ7:AQ15 AQ19:AQ27 AQ31:AQ39 AQ43:AQ51 AQ55:AQ63 AQ67:AQ75 AQ79:AQ87 AQ91:AQ99">
    <cfRule type="cellIs" dxfId="40" priority="4" stopIfTrue="1" operator="notEqual">
      <formula>"pass"</formula>
    </cfRule>
  </conditionalFormatting>
  <pageMargins left="0.75" right="0.75" top="1" bottom="1" header="0.5" footer="0.5"/>
  <pageSetup paperSize="9" orientation="portrait" verticalDpi="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Visio.Drawing.11" shapeId="19577" r:id="rId4">
          <objectPr defaultSize="0" autoPict="0" r:id="rId5">
            <anchor moveWithCells="1">
              <from>
                <xdr:col>4</xdr:col>
                <xdr:colOff>371475</xdr:colOff>
                <xdr:row>102</xdr:row>
                <xdr:rowOff>0</xdr:rowOff>
              </from>
              <to>
                <xdr:col>15</xdr:col>
                <xdr:colOff>371475</xdr:colOff>
                <xdr:row>114</xdr:row>
                <xdr:rowOff>9525</xdr:rowOff>
              </to>
            </anchor>
          </objectPr>
        </oleObject>
      </mc:Choice>
      <mc:Fallback>
        <oleObject progId="Visio.Drawing.11" shapeId="19577" r:id="rId4"/>
      </mc:Fallback>
    </mc:AlternateContent>
  </oleObjects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3"/>
  <dimension ref="A1:BJ111"/>
  <sheetViews>
    <sheetView topLeftCell="Q1" zoomScale="75" workbookViewId="0">
      <selection activeCell="AS27" sqref="AS27"/>
    </sheetView>
  </sheetViews>
  <sheetFormatPr defaultRowHeight="12.75" x14ac:dyDescent="0.2"/>
  <cols>
    <col min="1" max="1" width="15.140625" style="4" customWidth="1"/>
    <col min="2" max="2" width="10.28515625" style="22" customWidth="1"/>
    <col min="3" max="3" width="10.7109375" style="20" customWidth="1"/>
    <col min="4" max="4" width="1" style="3" customWidth="1"/>
    <col min="5" max="5" width="11.28515625" style="4" customWidth="1"/>
    <col min="6" max="6" width="12.42578125" style="4" customWidth="1"/>
    <col min="7" max="7" width="10.140625" style="3" customWidth="1"/>
    <col min="8" max="13" width="12" style="3" customWidth="1"/>
    <col min="14" max="14" width="11.140625" style="3" customWidth="1"/>
    <col min="15" max="15" width="0.85546875" style="4" customWidth="1"/>
    <col min="16" max="16" width="15.5703125" style="3" customWidth="1"/>
    <col min="17" max="17" width="17.42578125" style="3" customWidth="1"/>
    <col min="18" max="18" width="0.85546875" style="20" customWidth="1"/>
    <col min="19" max="20" width="18.140625" style="20" customWidth="1"/>
    <col min="21" max="21" width="0.85546875" style="20" customWidth="1"/>
    <col min="22" max="22" width="11.85546875" style="4" customWidth="1"/>
    <col min="23" max="23" width="12.140625" style="4" customWidth="1"/>
    <col min="24" max="24" width="1" style="4" customWidth="1"/>
    <col min="25" max="25" width="13.7109375" style="3" customWidth="1"/>
    <col min="26" max="26" width="12.28515625" style="3" customWidth="1"/>
    <col min="27" max="27" width="2" style="4" customWidth="1"/>
    <col min="28" max="28" width="11.140625" style="4" customWidth="1"/>
    <col min="29" max="29" width="13.5703125" style="4" customWidth="1"/>
    <col min="30" max="30" width="1" style="4" customWidth="1"/>
    <col min="31" max="31" width="13.7109375" style="3" customWidth="1"/>
    <col min="32" max="32" width="14.28515625" style="3" customWidth="1"/>
    <col min="33" max="33" width="14.28515625" style="4" customWidth="1"/>
    <col min="34" max="34" width="13.7109375" style="4" customWidth="1"/>
    <col min="35" max="40" width="14.28515625" style="22" customWidth="1"/>
    <col min="41" max="41" width="19" style="22" customWidth="1"/>
    <col min="42" max="44" width="19.42578125" style="22" customWidth="1"/>
    <col min="45" max="45" width="0.85546875" style="22" customWidth="1"/>
    <col min="46" max="46" width="17.85546875" style="22" customWidth="1"/>
    <col min="47" max="47" width="21.140625" style="22" customWidth="1"/>
    <col min="48" max="48" width="2.140625" style="4" customWidth="1"/>
    <col min="49" max="49" width="11.42578125" style="22" customWidth="1"/>
    <col min="50" max="50" width="11.28515625" style="22" customWidth="1"/>
    <col min="51" max="51" width="16.28515625" style="22" customWidth="1"/>
    <col min="52" max="52" width="11.42578125" style="22" customWidth="1"/>
    <col min="53" max="53" width="11.28515625" style="22" customWidth="1"/>
    <col min="54" max="54" width="16.28515625" style="22" customWidth="1"/>
    <col min="55" max="55" width="11.85546875" style="4" customWidth="1"/>
    <col min="56" max="56" width="11.28515625" style="22" customWidth="1"/>
    <col min="57" max="57" width="11.42578125" style="22" customWidth="1"/>
    <col min="58" max="58" width="16.28515625" style="22" customWidth="1"/>
    <col min="59" max="59" width="12.85546875" style="4" customWidth="1"/>
    <col min="60" max="60" width="11.28515625" style="22" customWidth="1"/>
    <col min="61" max="61" width="11.42578125" style="22" customWidth="1"/>
    <col min="62" max="62" width="16.28515625" style="22" customWidth="1"/>
    <col min="63" max="16384" width="9.140625" style="2"/>
  </cols>
  <sheetData>
    <row r="1" spans="1:62" ht="26.25" x14ac:dyDescent="0.2">
      <c r="A1" s="1001" t="s">
        <v>156</v>
      </c>
      <c r="B1" s="1003"/>
      <c r="C1" s="1003"/>
      <c r="D1" s="1003"/>
      <c r="E1" s="1002" t="e">
        <f ca="1">IF(AND(AU7="Pass",AU19="Pass",AU31="Pass",AU43="Pass",AU55="Pass",AU67="Pass",AU79="Pass",AU91="Pass"),"Pass","Fail")</f>
        <v>#REF!</v>
      </c>
      <c r="F1" s="1002"/>
      <c r="G1" s="2"/>
      <c r="H1" s="2"/>
      <c r="I1" s="2"/>
      <c r="J1" s="2"/>
      <c r="K1" s="2"/>
      <c r="L1" s="2"/>
      <c r="M1" s="2"/>
      <c r="N1" s="2"/>
      <c r="O1" s="2"/>
      <c r="AV1" s="2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</row>
    <row r="2" spans="1:62" customFormat="1" ht="18" x14ac:dyDescent="0.2">
      <c r="A2" s="81" t="s">
        <v>58</v>
      </c>
      <c r="B2" s="269" t="e">
        <f>'DDR2 Clocks - 2L'!B2</f>
        <v>#REF!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</row>
    <row r="3" spans="1:62" s="41" customFormat="1" ht="87.75" customHeight="1" x14ac:dyDescent="0.2">
      <c r="A3" s="86" t="s">
        <v>494</v>
      </c>
      <c r="B3" s="86" t="s">
        <v>511</v>
      </c>
      <c r="C3" s="88" t="s">
        <v>512</v>
      </c>
      <c r="D3" s="88"/>
      <c r="E3" s="87" t="e">
        <f>"Escape       Length L0 ["&amp;$B$2&amp;"]"</f>
        <v>#REF!</v>
      </c>
      <c r="F3" s="87" t="e">
        <f>"Breakout Length L1  ["&amp;$B$2&amp;"]"</f>
        <v>#REF!</v>
      </c>
      <c r="G3" s="87" t="e">
        <f>"Main      Length L2  ["&amp;$B$2&amp;"]"</f>
        <v>#REF!</v>
      </c>
      <c r="H3" s="87" t="e">
        <f>"Breakin     Length S1  ["&amp;$B$2&amp;"]"</f>
        <v>#REF!</v>
      </c>
      <c r="I3" s="107" t="e">
        <f>"Stripline Route to Rs L3 ["&amp;$B$2&amp;"]"</f>
        <v>#REF!</v>
      </c>
      <c r="J3" s="107" t="e">
        <f>"Breakin to Rs L4 ["&amp;$B$2&amp;"]"</f>
        <v>#REF!</v>
      </c>
      <c r="K3" s="107" t="e">
        <f>"Rs length ["&amp;$B$2&amp;"]"</f>
        <v>#REF!</v>
      </c>
      <c r="L3" s="107" t="e">
        <f>"Breakout from Rs L5 ["&amp;$B$2&amp;"]"</f>
        <v>#REF!</v>
      </c>
      <c r="M3" s="107" t="e">
        <f>"Stripline between Rs and SDRAM L6 ["&amp;$B$2&amp;"]"</f>
        <v>#REF!</v>
      </c>
      <c r="N3" s="107" t="e">
        <f>"Breakin to SDRAM L7 ["&amp;$B$2&amp;"]"</f>
        <v>#REF!</v>
      </c>
      <c r="O3" s="107"/>
      <c r="P3" s="532" t="e">
        <f>"Total MB Length to SODIMM (L0+L1+L2+S1)  ["&amp;$B$2&amp;"]"</f>
        <v>#REF!</v>
      </c>
      <c r="Q3" s="532" t="e">
        <f>"Total MB Length to SDRAM (L0+L1+L2+L3+L4+Rs+L5+L6+L7)  ["&amp;$B$2&amp;"]"</f>
        <v>#REF!</v>
      </c>
      <c r="R3" s="5"/>
      <c r="S3" s="5" t="e">
        <f>"Total Pad-to-SODIMM Connector Length (P0+L0+L1+L2+S1)  ["&amp;$B$2&amp;"]"</f>
        <v>#REF!</v>
      </c>
      <c r="T3" s="5" t="e">
        <f>"Total Pad-to-SDRAM Pin Length (P0+L0+L1+L2+L3+L4+Rs+L5+L6+L7)  ["&amp;$B$2&amp;"]"</f>
        <v>#REF!</v>
      </c>
      <c r="U3" s="5"/>
      <c r="V3" s="5" t="e">
        <f>"Target Min Length to SODIMM
["&amp;$B$2&amp;"]"</f>
        <v>#REF!</v>
      </c>
      <c r="W3" s="5" t="e">
        <f>"Target Max Length to SODIMM 
["&amp;$B$2&amp;"]"</f>
        <v>#REF!</v>
      </c>
      <c r="X3" s="5"/>
      <c r="Y3" s="5" t="e">
        <f>"Length to SODIMM Routed Too Short  ["&amp;$B$2&amp;"]"</f>
        <v>#REF!</v>
      </c>
      <c r="Z3" s="5" t="e">
        <f>"Length to SODIMM Routed Too Long  ["&amp;$B$2&amp;"]"</f>
        <v>#REF!</v>
      </c>
      <c r="AA3" s="5"/>
      <c r="AB3" s="5" t="e">
        <f>"Target Min Length to SDRAM
["&amp;$B$2&amp;"]"</f>
        <v>#REF!</v>
      </c>
      <c r="AC3" s="5" t="e">
        <f>"Target Max Length to SDRAM 
["&amp;$B$2&amp;"]"</f>
        <v>#REF!</v>
      </c>
      <c r="AD3" s="5"/>
      <c r="AE3" s="5" t="e">
        <f>"Length to SDRAM Routed Too Short  ["&amp;$B$2&amp;"]"</f>
        <v>#REF!</v>
      </c>
      <c r="AF3" s="5" t="e">
        <f>"Length to SDRAM Routed Too Long  ["&amp;$B$2&amp;"]"</f>
        <v>#REF!</v>
      </c>
      <c r="AG3" s="5" t="e">
        <f>"L0 Length Test (&lt;="&amp;IF($B$2="mil",1,0.0254)*50&amp;$B$2&amp;")"</f>
        <v>#REF!</v>
      </c>
      <c r="AH3" s="5" t="e">
        <f>"L1 Length Test (&lt;="&amp;IF($B$2="mil",1,0.0254)*500&amp;$B$2&amp;")"</f>
        <v>#REF!</v>
      </c>
      <c r="AI3" s="5" t="e">
        <f>"S1 Length Test (&lt;="&amp;IF($B$2="mil",1,0.0254)*250&amp;$B$2&amp;")"</f>
        <v>#REF!</v>
      </c>
      <c r="AJ3" s="5" t="e">
        <f>"L3 Length Test (&lt;="&amp;IF($B$2="mil",1,0.0254)*1000&amp;$B$2&amp;" or L3 + L4 &lt;="&amp; IF($B$2="mil",1,0.0254)*1125&amp;$B$2&amp;")"</f>
        <v>#REF!</v>
      </c>
      <c r="AK3" s="5" t="e">
        <f>"L4 Length Test (&lt;="&amp;IF($B$2="mil",1,0.0254)*125&amp;$B$2&amp;")"</f>
        <v>#REF!</v>
      </c>
      <c r="AL3" s="5" t="e">
        <f>"L5 Length Test (&lt;="&amp;IF($B$2="mil",1,0.0254)*125&amp;$B$2&amp;")"</f>
        <v>#REF!</v>
      </c>
      <c r="AM3" s="5" t="e">
        <f>"L6 Length Test (&lt;="&amp;IF($B$2="mil",1,0.0254)*1250&amp;$B$2&amp;" or L5+L6+L7 &lt;= "&amp;IF($B$2="mil",1,0.0254)*1525&amp;$B$2&amp;")"</f>
        <v>#REF!</v>
      </c>
      <c r="AN3" s="5" t="e">
        <f>"L7 Length Test (&lt;="&amp;IF($B$2="mil",1,0.0254)*150&amp;$B$2&amp;") or (L6+L7 &lt;= "&amp;IF($B$2="mil",1,0.0254)*1400&amp;$B$2&amp;")"</f>
        <v>#REF!</v>
      </c>
      <c r="AO3" s="5" t="e">
        <f>"Total MB Length to SODIMM (L0+L1+L2+S1) Test
 "&amp;IF($B$2="mil","(500-4000mil)","(12.7-114.3mm)")</f>
        <v>#REF!</v>
      </c>
      <c r="AP3" s="5" t="e">
        <f>"Total Length to SODIMM (P0+L0+L1+L2+S1) Test
 (&lt;="&amp; IF($B$2="mil","4500mil","127mm")&amp;")"</f>
        <v>#REF!</v>
      </c>
      <c r="AQ3" s="5" t="e">
        <f>"Total MB Length to SDRAM (L0+L1+L2+L3+L4+Rs+L5+L6+L7) Test
 "&amp;IF($B$2="mil","(500-5500mil)","(12.7-114.3mm)")</f>
        <v>#REF!</v>
      </c>
      <c r="AR3" s="5" t="e">
        <f>"Total Length to SDRAM (P0+L0+L1+L2+L3+L4+Rs+L5+L6+L7) Test
 (&lt;="&amp; IF($B$2="mil","6000mil","127mm")&amp;")"</f>
        <v>#REF!</v>
      </c>
      <c r="AS3" s="5"/>
    </row>
    <row r="4" spans="1:62" x14ac:dyDescent="0.2">
      <c r="A4" s="94" t="s">
        <v>245</v>
      </c>
      <c r="B4" s="438"/>
      <c r="C4" s="109"/>
      <c r="D4" s="8"/>
      <c r="E4" s="8"/>
      <c r="F4" s="19"/>
      <c r="G4" s="7"/>
      <c r="H4" s="7"/>
      <c r="I4" s="7"/>
      <c r="J4" s="7"/>
      <c r="K4" s="7"/>
      <c r="L4" s="7"/>
      <c r="M4" s="7"/>
      <c r="N4" s="8"/>
      <c r="O4" s="8"/>
      <c r="P4" s="7"/>
      <c r="Q4" s="7"/>
      <c r="R4" s="8"/>
      <c r="S4" s="8"/>
      <c r="T4" s="8"/>
      <c r="U4" s="8"/>
      <c r="V4" s="42"/>
      <c r="W4" s="8"/>
      <c r="X4" s="8"/>
      <c r="Y4" s="13"/>
      <c r="Z4" s="15"/>
      <c r="AA4" s="8"/>
      <c r="AB4" s="42"/>
      <c r="AC4" s="8"/>
      <c r="AD4" s="8"/>
      <c r="AE4" s="13"/>
      <c r="AF4" s="15"/>
      <c r="AG4" s="15"/>
      <c r="AH4" s="15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0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</row>
    <row r="5" spans="1:62" x14ac:dyDescent="0.2">
      <c r="A5" s="43" t="str">
        <f>'DDR2 Strobes - 1x16'!$A$7</f>
        <v>SA_DQS0</v>
      </c>
      <c r="B5" s="542" t="str">
        <f>'DDR2 Strobes - 1x16'!$B$7</f>
        <v>Y25</v>
      </c>
      <c r="C5" s="596"/>
      <c r="D5" s="44"/>
      <c r="E5" s="66"/>
      <c r="F5" s="66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  <c r="R5" s="67"/>
      <c r="S5" s="48"/>
      <c r="T5" s="48"/>
      <c r="U5" s="48"/>
      <c r="V5" s="48" t="e">
        <f ca="1">GetSODIMMStrbLen($A5)</f>
        <v>#NAME?</v>
      </c>
      <c r="W5" s="48"/>
      <c r="X5" s="48"/>
      <c r="Y5" s="48"/>
      <c r="Z5" s="535"/>
      <c r="AA5" s="549" t="e">
        <f>"Strobe Pair to " &amp;#REF!</f>
        <v>#REF!</v>
      </c>
      <c r="AB5" s="48" t="e">
        <f ca="1">GetStrbLen(#REF!, "P")</f>
        <v>#NAME?</v>
      </c>
      <c r="AC5" s="48"/>
      <c r="AD5" s="48"/>
      <c r="AE5" s="48"/>
      <c r="AF5" s="535"/>
      <c r="AG5" s="535"/>
      <c r="AH5" s="535"/>
      <c r="AI5" s="535"/>
      <c r="AJ5" s="535"/>
      <c r="AK5" s="535"/>
      <c r="AL5" s="535"/>
      <c r="AM5" s="535"/>
      <c r="AN5" s="535"/>
      <c r="AO5" s="535"/>
      <c r="AP5" s="535"/>
      <c r="AQ5" s="535"/>
      <c r="AR5" s="535"/>
      <c r="AS5" s="48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</row>
    <row r="6" spans="1:62" x14ac:dyDescent="0.2">
      <c r="A6" s="43" t="str">
        <f>'DDR2 Strobes - 1x16'!$A$8</f>
        <v>SA_DQS0#</v>
      </c>
      <c r="B6" s="542" t="str">
        <f>'DDR2 Strobes - 1x16'!$B$8</f>
        <v>W24</v>
      </c>
      <c r="C6" s="596"/>
      <c r="D6" s="44"/>
      <c r="E6" s="66"/>
      <c r="F6" s="66"/>
      <c r="G6" s="261"/>
      <c r="H6" s="261"/>
      <c r="I6" s="67"/>
      <c r="J6" s="67"/>
      <c r="K6" s="67"/>
      <c r="L6" s="67"/>
      <c r="M6" s="67"/>
      <c r="N6" s="67"/>
      <c r="O6" s="67"/>
      <c r="P6" s="67"/>
      <c r="Q6" s="536"/>
      <c r="R6" s="536"/>
      <c r="S6" s="537"/>
      <c r="T6" s="537"/>
      <c r="U6" s="48"/>
      <c r="V6" s="48" t="e">
        <f ca="1">GetSODIMMStrbLen($A6)</f>
        <v>#NAME?</v>
      </c>
      <c r="W6" s="48"/>
      <c r="X6" s="48"/>
      <c r="Y6" s="48"/>
      <c r="Z6" s="535"/>
      <c r="AA6" s="550" t="e">
        <f>"Strobe Pair to " &amp;#REF!</f>
        <v>#REF!</v>
      </c>
      <c r="AB6" s="48" t="e">
        <f ca="1">GetStrbLen(#REF!, "N")</f>
        <v>#NAME?</v>
      </c>
      <c r="AC6" s="48"/>
      <c r="AD6" s="48"/>
      <c r="AE6" s="48"/>
      <c r="AF6" s="535"/>
      <c r="AG6" s="535"/>
      <c r="AH6" s="535"/>
      <c r="AI6" s="538"/>
      <c r="AJ6" s="538"/>
      <c r="AK6" s="538"/>
      <c r="AL6" s="538"/>
      <c r="AM6" s="538"/>
      <c r="AN6" s="538"/>
      <c r="AO6" s="538"/>
      <c r="AP6" s="538"/>
      <c r="AQ6" s="538"/>
      <c r="AR6" s="538"/>
      <c r="AS6" s="48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</row>
    <row r="7" spans="1:62" x14ac:dyDescent="0.2">
      <c r="A7" s="77" t="s">
        <v>169</v>
      </c>
      <c r="B7" s="573" t="s">
        <v>550</v>
      </c>
      <c r="C7" s="584">
        <v>385.1968503937008</v>
      </c>
      <c r="D7" s="16"/>
      <c r="E7" s="17">
        <v>29.7</v>
      </c>
      <c r="F7" s="17">
        <v>0</v>
      </c>
      <c r="G7" s="271">
        <v>2017.78</v>
      </c>
      <c r="H7" s="271">
        <v>50</v>
      </c>
      <c r="I7" s="17">
        <v>0</v>
      </c>
      <c r="J7" s="271">
        <v>57.5</v>
      </c>
      <c r="K7" s="17">
        <v>40</v>
      </c>
      <c r="L7" s="271">
        <v>52.37</v>
      </c>
      <c r="M7" s="271">
        <v>1040</v>
      </c>
      <c r="N7" s="271">
        <v>76</v>
      </c>
      <c r="O7" s="58"/>
      <c r="P7" s="441">
        <f xml:space="preserve"> E7+F7+G7+H7</f>
        <v>2097.48</v>
      </c>
      <c r="Q7" s="441">
        <f t="shared" ref="Q7:Q14" si="0">SUM(E7:G7,I7:N7)</f>
        <v>3313.35</v>
      </c>
      <c r="R7" s="533"/>
      <c r="S7" s="441" t="e">
        <f>P7+IF($B$2="mil",1,0.0254)*C7</f>
        <v>#REF!</v>
      </c>
      <c r="T7" s="441" t="e">
        <f t="shared" ref="T7:T15" si="1">Q7+IF($B$2="mil",1,0.0254)*$C7</f>
        <v>#REF!</v>
      </c>
      <c r="U7" s="533"/>
      <c r="V7" s="441" t="e">
        <f ca="1">MAX(V$5:V$6)+IF($B$2="mil",1,0.0254)*DDR2Specs!$B$3</f>
        <v>#NAME?</v>
      </c>
      <c r="W7" s="441" t="e">
        <f ca="1">MIN(V$5:V$6)+IF($B$2="mil",1,0.0254)*DDR2Specs!$C$3</f>
        <v>#NAME?</v>
      </c>
      <c r="X7" s="18"/>
      <c r="Y7" s="534" t="e">
        <f ca="1">IF($S7&lt;$V7,$V7-$S7,"Pass")</f>
        <v>#REF!</v>
      </c>
      <c r="Z7" s="447" t="e">
        <f ca="1">IF($S7&gt;$W7,$S7-$W7,"Pass")</f>
        <v>#REF!</v>
      </c>
      <c r="AA7" s="18"/>
      <c r="AB7" s="441" t="e">
        <f ca="1">MAX(AB$5:AB$6)+IF($B$2="mil",1,0.0254)*DDR2Specs!$E$3</f>
        <v>#NAME?</v>
      </c>
      <c r="AC7" s="441" t="e">
        <f ca="1">MIN(AB$5:AB$6)+IF($B$2="mil",1,0.0254)*DDR2Specs!$F$3</f>
        <v>#NAME?</v>
      </c>
      <c r="AD7" s="18"/>
      <c r="AE7" s="534" t="e">
        <f ca="1">IF($T7&lt;$AB7,$AB7-$T7,"Pass")</f>
        <v>#REF!</v>
      </c>
      <c r="AF7" s="447" t="e">
        <f t="shared" ref="AF7:AF15" ca="1" si="2">IF($T7&gt;$AC7,$T7-$AC7,"Pass")</f>
        <v>#REF!</v>
      </c>
      <c r="AG7" s="447" t="e">
        <f>IF($E7&lt;=IF($B$2="mil",1,0.0254)*50,"Pass",IF($B$2="mil",1,0.0254)*50-$E7)</f>
        <v>#REF!</v>
      </c>
      <c r="AH7" s="447" t="e">
        <f>IF($F7&lt;=IF($B$2="mil",1,0.0254)*500,"Pass",IF($B$2="mil",1,0.0254)*500-$F7)</f>
        <v>#REF!</v>
      </c>
      <c r="AI7" s="447" t="e">
        <f>IF($H7&lt;=IF($B$2="mil",1,0.0254)*250,"Pass",IF($B$2="mil",1,0.0254)*250-$H7)</f>
        <v>#REF!</v>
      </c>
      <c r="AJ7" s="447" t="e">
        <f t="shared" ref="AJ7:AJ15" ca="1" si="3">CheckLength(IF($B$2="mil",1,0.0254)*1000, IF($B$2="mil",1,0.0254)*125-J7, 0, I7,J7,0)</f>
        <v>#NAME?</v>
      </c>
      <c r="AK7" s="447" t="e">
        <f>IF($J7&lt;=IF($B$2="mil",1,0.0254)*125,"Pass",IF($B$2="mil",1,0.0254)*125-$J7)</f>
        <v>#REF!</v>
      </c>
      <c r="AL7" s="447" t="e">
        <f>IF($L7&lt;=IF($B$2="mil",1,0.0254)*125,"Pass",IF($B$2="mil",1,0.0254)*125-$L7)</f>
        <v>#REF!</v>
      </c>
      <c r="AM7" s="447" t="e">
        <f ca="1">CheckLength(IF($B$2="mil",1,0.0254)*1250, IF($B$2="mil",1,0.0254)*125-L7, IF($B$2="mil",1,0.0254)*150-N7, M7,L7,N7)</f>
        <v>#NAME?</v>
      </c>
      <c r="AN7" s="447" t="e">
        <f ca="1">CheckLength2(IF($B$2="mil",1,0.0254)*1400,M7,N7,0)</f>
        <v>#NAME?</v>
      </c>
      <c r="AO7" s="447" t="e">
        <f t="shared" ref="AO7:AO15" si="4">IF(AND($P7&gt;=IF($B$2="mil",1,0.0254)*500, $P7&lt;=IF($B$2="mil",1,0.0254)*4000),"Pass",IF($B$2="mil",1,0.0254)*4000-$P7)</f>
        <v>#REF!</v>
      </c>
      <c r="AP7" s="447" t="e">
        <f>IF(AND($S7&gt;=IF($B$2="mil",1,0.0254)*500, $S7&lt;=IF($B$2="mil",1,0.0254)*4500),"Pass",IF($B$2="mil",1,0.0254)*4500-$S7)</f>
        <v>#REF!</v>
      </c>
      <c r="AQ7" s="447" t="e">
        <f>IF(AND($Q7&gt;=IF($B$2="mil",1,0.0254)*500, $Q7&lt;=IF($B$2="mil",1,0.0254)*5500),"Pass",IF($B$2="mil",1,0.0254)*5500-$Q7)</f>
        <v>#REF!</v>
      </c>
      <c r="AR7" s="447" t="e">
        <f>IF(AND($T7&gt;=IF($B$2="mil",1,0.0254)*500, $T7&lt;=IF($B$2="mil",1,0.0254)*6000),"Pass",IF($B$2="mil",1,0.0254)*6000-$T7)</f>
        <v>#REF!</v>
      </c>
      <c r="AS7" s="18"/>
      <c r="AT7" s="2" t="e">
        <f ca="1">IF(AND(AG7="Pass",AP7="Pass",AI7="Pass",AH7="Pass",AO7="Pass",Y7="Pass",Z7="Pass",AN7="Pass",AM7="Pass",AL7="Pass",AK7="Pass",AJ7="Pass",AE7="Pass",AF7="Pass",AQ7="Pass",AR7="Pass"),"Pass","Fail")</f>
        <v>#REF!</v>
      </c>
      <c r="AU7" s="2" t="e">
        <f ca="1">IF(AND(AT7="Pass",AT8="Pass",AT9="Pass",AT10="Pass",AT11="Pass",AT12="Pass",AT13="Pass",AT14="Pass",AT15="Pass"),"Pass","Fail")</f>
        <v>#REF!</v>
      </c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</row>
    <row r="8" spans="1:62" x14ac:dyDescent="0.2">
      <c r="A8" s="77" t="s">
        <v>170</v>
      </c>
      <c r="B8" s="573" t="s">
        <v>551</v>
      </c>
      <c r="C8" s="584">
        <v>406.77165354330714</v>
      </c>
      <c r="D8" s="16"/>
      <c r="E8" s="17">
        <v>29.7</v>
      </c>
      <c r="F8" s="17">
        <v>0</v>
      </c>
      <c r="G8" s="271">
        <v>1958.93</v>
      </c>
      <c r="H8" s="271">
        <v>81.59</v>
      </c>
      <c r="I8" s="17">
        <v>0</v>
      </c>
      <c r="J8" s="271">
        <v>61.64</v>
      </c>
      <c r="K8" s="17">
        <v>40</v>
      </c>
      <c r="L8" s="271">
        <v>113.2</v>
      </c>
      <c r="M8" s="271">
        <v>1019</v>
      </c>
      <c r="N8" s="271">
        <v>79</v>
      </c>
      <c r="O8" s="58"/>
      <c r="P8" s="441">
        <f t="shared" ref="P8:P15" si="5" xml:space="preserve"> E8+F8+G8+H8</f>
        <v>2070.2200000000003</v>
      </c>
      <c r="Q8" s="441">
        <f t="shared" si="0"/>
        <v>3301.47</v>
      </c>
      <c r="R8" s="533"/>
      <c r="S8" s="441" t="e">
        <f t="shared" ref="S8:S15" si="6">P8+IF($B$2="mil",1,0.0254)*C8</f>
        <v>#REF!</v>
      </c>
      <c r="T8" s="441" t="e">
        <f t="shared" si="1"/>
        <v>#REF!</v>
      </c>
      <c r="U8" s="533"/>
      <c r="V8" s="441" t="e">
        <f ca="1">MAX(V$5:V$6)+IF($B$2="mil",1,0.0254)*DDR2Specs!$B$3</f>
        <v>#NAME?</v>
      </c>
      <c r="W8" s="441" t="e">
        <f ca="1">MIN(V$5:V$6)+IF($B$2="mil",1,0.0254)*DDR2Specs!$C$3</f>
        <v>#NAME?</v>
      </c>
      <c r="X8" s="18"/>
      <c r="Y8" s="534" t="e">
        <f t="shared" ref="Y8:Y15" ca="1" si="7">IF($S8&lt;$V8,$V8-$S8,"Pass")</f>
        <v>#REF!</v>
      </c>
      <c r="Z8" s="447" t="e">
        <f ca="1">IF($S8&gt;$W8,$S8-$W8,"Pass")</f>
        <v>#REF!</v>
      </c>
      <c r="AA8" s="18"/>
      <c r="AB8" s="441" t="e">
        <f ca="1">MAX(AB$5:AB$6)+IF($B$2="mil",1,0.0254)*DDR2Specs!$E$3</f>
        <v>#NAME?</v>
      </c>
      <c r="AC8" s="441" t="e">
        <f ca="1">MIN(AB$5:AB$6)+IF($B$2="mil",1,0.0254)*DDR2Specs!$F$3</f>
        <v>#NAME?</v>
      </c>
      <c r="AD8" s="18"/>
      <c r="AE8" s="534" t="e">
        <f t="shared" ref="AE8:AE15" ca="1" si="8">IF($T8&lt;$AB8,$AB8-$T8,"Pass")</f>
        <v>#REF!</v>
      </c>
      <c r="AF8" s="447" t="e">
        <f t="shared" ca="1" si="2"/>
        <v>#REF!</v>
      </c>
      <c r="AG8" s="447" t="e">
        <f t="shared" ref="AG8:AG15" si="9">IF($E8&lt;=IF($B$2="mil",1,0.0254)*50,"Pass",IF($B$2="mil",1,0.0254)*50-$E8)</f>
        <v>#REF!</v>
      </c>
      <c r="AH8" s="447" t="e">
        <f t="shared" ref="AH8:AH15" si="10">IF($F8&lt;=IF($B$2="mil",1,0.0254)*500,"Pass",IF($B$2="mil",1,0.0254)*500-$F8)</f>
        <v>#REF!</v>
      </c>
      <c r="AI8" s="447" t="e">
        <f t="shared" ref="AI8:AI15" si="11">IF($H8&lt;=IF($B$2="mil",1,0.0254)*250,"Pass",IF($B$2="mil",1,0.0254)*250-$H8)</f>
        <v>#REF!</v>
      </c>
      <c r="AJ8" s="447" t="e">
        <f t="shared" ca="1" si="3"/>
        <v>#NAME?</v>
      </c>
      <c r="AK8" s="447" t="e">
        <f t="shared" ref="AK8:AK15" si="12">IF($J8&lt;=IF($B$2="mil",1,0.0254)*125,"Pass",IF($B$2="mil",1,0.0254)*125-$J8)</f>
        <v>#REF!</v>
      </c>
      <c r="AL8" s="447" t="e">
        <f t="shared" ref="AL8:AL14" si="13">IF($L8&lt;=IF($B$2="mil",1,0.0254)*125,"Pass",IF($B$2="mil",1,0.0254)*125-$L8)</f>
        <v>#REF!</v>
      </c>
      <c r="AM8" s="447" t="e">
        <f t="shared" ref="AM8:AM15" ca="1" si="14">CheckLength(IF($B$2="mil",1,0.0254)*1250, IF($B$2="mil",1,0.0254)*125-L8, IF($B$2="mil",1,0.0254)*150-N8, M8,L8,N8)</f>
        <v>#NAME?</v>
      </c>
      <c r="AN8" s="447" t="e">
        <f t="shared" ref="AN8:AN15" ca="1" si="15">CheckLength2(IF($B$2="mil",1,0.0254)*1400,M8,N8,0)</f>
        <v>#NAME?</v>
      </c>
      <c r="AO8" s="447" t="e">
        <f t="shared" si="4"/>
        <v>#REF!</v>
      </c>
      <c r="AP8" s="447" t="e">
        <f t="shared" ref="AP8:AP15" si="16">IF(AND($S8&gt;=IF($B$2="mil",1,0.0254)*500, $S8&lt;=IF($B$2="mil",1,0.0254)*4500),"Pass",IF($B$2="mil",1,0.0254)*4500-$S8)</f>
        <v>#REF!</v>
      </c>
      <c r="AQ8" s="447" t="e">
        <f t="shared" ref="AQ8:AQ15" si="17">IF(AND($Q8&gt;=IF($B$2="mil",1,0.0254)*500, $Q8&lt;=IF($B$2="mil",1,0.0254)*5500),"Pass",IF($B$2="mil",1,0.0254)*5500-$Q8)</f>
        <v>#REF!</v>
      </c>
      <c r="AR8" s="447" t="e">
        <f t="shared" ref="AR8:AR15" si="18">IF(AND($T8&gt;=IF($B$2="mil",1,0.0254)*500, $T8&lt;=IF($B$2="mil",1,0.0254)*6000),"Pass",IF($B$2="mil",1,0.0254)*6000-$T8)</f>
        <v>#REF!</v>
      </c>
      <c r="AS8" s="18"/>
      <c r="AT8" s="2" t="e">
        <f t="shared" ref="AT8:AT15" ca="1" si="19">IF(AND(AG8="Pass",AP8="Pass",AI8="Pass",AH8="Pass",AO8="Pass",Y8="Pass",Z8="Pass",AN8="Pass",AM8="Pass",AL8="Pass",AK8="Pass",AJ8="Pass",AE8="Pass",AF8="Pass",AQ8="Pass",AR8="Pass"),"Pass","Fail")</f>
        <v>#REF!</v>
      </c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</row>
    <row r="9" spans="1:62" x14ac:dyDescent="0.2">
      <c r="A9" s="77" t="s">
        <v>171</v>
      </c>
      <c r="B9" s="573" t="s">
        <v>552</v>
      </c>
      <c r="C9" s="584">
        <v>432.40157480314963</v>
      </c>
      <c r="D9" s="16"/>
      <c r="E9" s="17">
        <v>29.7</v>
      </c>
      <c r="F9" s="17">
        <v>0</v>
      </c>
      <c r="G9" s="271">
        <v>2003.64</v>
      </c>
      <c r="H9" s="271">
        <v>20</v>
      </c>
      <c r="I9" s="17">
        <v>0</v>
      </c>
      <c r="J9" s="271">
        <v>103.2</v>
      </c>
      <c r="K9" s="17">
        <v>40</v>
      </c>
      <c r="L9" s="271">
        <v>94.07</v>
      </c>
      <c r="M9" s="271">
        <v>975</v>
      </c>
      <c r="N9" s="271">
        <v>28.01</v>
      </c>
      <c r="O9" s="58"/>
      <c r="P9" s="441">
        <f t="shared" si="5"/>
        <v>2053.34</v>
      </c>
      <c r="Q9" s="441">
        <f t="shared" si="0"/>
        <v>3273.6200000000003</v>
      </c>
      <c r="R9" s="533"/>
      <c r="S9" s="441" t="e">
        <f t="shared" si="6"/>
        <v>#REF!</v>
      </c>
      <c r="T9" s="441" t="e">
        <f t="shared" si="1"/>
        <v>#REF!</v>
      </c>
      <c r="U9" s="533"/>
      <c r="V9" s="441" t="e">
        <f ca="1">MAX(V$5:V$6)+IF($B$2="mil",1,0.0254)*DDR2Specs!$B$3</f>
        <v>#NAME?</v>
      </c>
      <c r="W9" s="441" t="e">
        <f ca="1">MIN(V$5:V$6)+IF($B$2="mil",1,0.0254)*DDR2Specs!$C$3</f>
        <v>#NAME?</v>
      </c>
      <c r="X9" s="18"/>
      <c r="Y9" s="534" t="e">
        <f t="shared" ca="1" si="7"/>
        <v>#REF!</v>
      </c>
      <c r="Z9" s="447" t="e">
        <f t="shared" ref="Z9:Z15" ca="1" si="20">IF($S9&gt;$W9,$S9-$W9,"Pass")</f>
        <v>#REF!</v>
      </c>
      <c r="AA9" s="18"/>
      <c r="AB9" s="441" t="e">
        <f ca="1">MAX(AB$5:AB$6)+IF($B$2="mil",1,0.0254)*DDR2Specs!$E$3</f>
        <v>#NAME?</v>
      </c>
      <c r="AC9" s="441" t="e">
        <f ca="1">MIN(AB$5:AB$6)+IF($B$2="mil",1,0.0254)*DDR2Specs!$F$3</f>
        <v>#NAME?</v>
      </c>
      <c r="AD9" s="18"/>
      <c r="AE9" s="534" t="e">
        <f t="shared" ca="1" si="8"/>
        <v>#REF!</v>
      </c>
      <c r="AF9" s="447" t="e">
        <f t="shared" ca="1" si="2"/>
        <v>#REF!</v>
      </c>
      <c r="AG9" s="447" t="e">
        <f t="shared" si="9"/>
        <v>#REF!</v>
      </c>
      <c r="AH9" s="447" t="e">
        <f t="shared" si="10"/>
        <v>#REF!</v>
      </c>
      <c r="AI9" s="447" t="e">
        <f t="shared" si="11"/>
        <v>#REF!</v>
      </c>
      <c r="AJ9" s="447" t="e">
        <f t="shared" ca="1" si="3"/>
        <v>#NAME?</v>
      </c>
      <c r="AK9" s="447" t="e">
        <f t="shared" si="12"/>
        <v>#REF!</v>
      </c>
      <c r="AL9" s="447" t="e">
        <f t="shared" si="13"/>
        <v>#REF!</v>
      </c>
      <c r="AM9" s="447" t="e">
        <f t="shared" ca="1" si="14"/>
        <v>#NAME?</v>
      </c>
      <c r="AN9" s="447" t="e">
        <f t="shared" ca="1" si="15"/>
        <v>#NAME?</v>
      </c>
      <c r="AO9" s="447" t="e">
        <f t="shared" si="4"/>
        <v>#REF!</v>
      </c>
      <c r="AP9" s="447" t="e">
        <f t="shared" si="16"/>
        <v>#REF!</v>
      </c>
      <c r="AQ9" s="447" t="e">
        <f t="shared" si="17"/>
        <v>#REF!</v>
      </c>
      <c r="AR9" s="447" t="e">
        <f t="shared" si="18"/>
        <v>#REF!</v>
      </c>
      <c r="AS9" s="18"/>
      <c r="AT9" s="2" t="e">
        <f t="shared" ca="1" si="19"/>
        <v>#REF!</v>
      </c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</row>
    <row r="10" spans="1:62" x14ac:dyDescent="0.2">
      <c r="A10" s="77" t="s">
        <v>172</v>
      </c>
      <c r="B10" s="573" t="s">
        <v>548</v>
      </c>
      <c r="C10" s="584">
        <v>395.82677165354335</v>
      </c>
      <c r="D10" s="16"/>
      <c r="E10" s="17">
        <v>29.7</v>
      </c>
      <c r="F10" s="17">
        <v>0</v>
      </c>
      <c r="G10" s="271">
        <v>1961.55</v>
      </c>
      <c r="H10" s="271">
        <v>88</v>
      </c>
      <c r="I10" s="17">
        <v>0</v>
      </c>
      <c r="J10" s="271">
        <v>57.5</v>
      </c>
      <c r="K10" s="17">
        <v>40</v>
      </c>
      <c r="L10" s="271">
        <v>124.07</v>
      </c>
      <c r="M10" s="271">
        <v>1054.43</v>
      </c>
      <c r="N10" s="271">
        <v>34.5</v>
      </c>
      <c r="O10" s="58"/>
      <c r="P10" s="441">
        <f t="shared" si="5"/>
        <v>2079.25</v>
      </c>
      <c r="Q10" s="441">
        <f t="shared" si="0"/>
        <v>3301.75</v>
      </c>
      <c r="R10" s="533"/>
      <c r="S10" s="441" t="e">
        <f t="shared" si="6"/>
        <v>#REF!</v>
      </c>
      <c r="T10" s="441" t="e">
        <f t="shared" si="1"/>
        <v>#REF!</v>
      </c>
      <c r="U10" s="533"/>
      <c r="V10" s="441" t="e">
        <f ca="1">MAX(V$5:V$6)+IF($B$2="mil",1,0.0254)*DDR2Specs!$B$3</f>
        <v>#NAME?</v>
      </c>
      <c r="W10" s="441" t="e">
        <f ca="1">MIN(V$5:V$6)+IF($B$2="mil",1,0.0254)*DDR2Specs!$C$3</f>
        <v>#NAME?</v>
      </c>
      <c r="X10" s="18"/>
      <c r="Y10" s="534" t="e">
        <f t="shared" ca="1" si="7"/>
        <v>#REF!</v>
      </c>
      <c r="Z10" s="447" t="e">
        <f t="shared" ca="1" si="20"/>
        <v>#REF!</v>
      </c>
      <c r="AA10" s="18"/>
      <c r="AB10" s="441" t="e">
        <f ca="1">MAX(AB$5:AB$6)+IF($B$2="mil",1,0.0254)*DDR2Specs!$E$3</f>
        <v>#NAME?</v>
      </c>
      <c r="AC10" s="441" t="e">
        <f ca="1">MIN(AB$5:AB$6)+IF($B$2="mil",1,0.0254)*DDR2Specs!$F$3</f>
        <v>#NAME?</v>
      </c>
      <c r="AD10" s="18"/>
      <c r="AE10" s="534" t="e">
        <f t="shared" ca="1" si="8"/>
        <v>#REF!</v>
      </c>
      <c r="AF10" s="447" t="e">
        <f t="shared" ca="1" si="2"/>
        <v>#REF!</v>
      </c>
      <c r="AG10" s="447" t="e">
        <f t="shared" si="9"/>
        <v>#REF!</v>
      </c>
      <c r="AH10" s="447" t="e">
        <f t="shared" si="10"/>
        <v>#REF!</v>
      </c>
      <c r="AI10" s="447" t="e">
        <f t="shared" si="11"/>
        <v>#REF!</v>
      </c>
      <c r="AJ10" s="447" t="e">
        <f t="shared" ca="1" si="3"/>
        <v>#NAME?</v>
      </c>
      <c r="AK10" s="447" t="e">
        <f t="shared" si="12"/>
        <v>#REF!</v>
      </c>
      <c r="AL10" s="447" t="e">
        <f t="shared" si="13"/>
        <v>#REF!</v>
      </c>
      <c r="AM10" s="447" t="e">
        <f t="shared" ca="1" si="14"/>
        <v>#NAME?</v>
      </c>
      <c r="AN10" s="447" t="e">
        <f t="shared" ca="1" si="15"/>
        <v>#NAME?</v>
      </c>
      <c r="AO10" s="447" t="e">
        <f t="shared" si="4"/>
        <v>#REF!</v>
      </c>
      <c r="AP10" s="447" t="e">
        <f t="shared" si="16"/>
        <v>#REF!</v>
      </c>
      <c r="AQ10" s="447" t="e">
        <f t="shared" si="17"/>
        <v>#REF!</v>
      </c>
      <c r="AR10" s="447" t="e">
        <f t="shared" si="18"/>
        <v>#REF!</v>
      </c>
      <c r="AS10" s="18"/>
      <c r="AT10" s="2" t="e">
        <f t="shared" ca="1" si="19"/>
        <v>#REF!</v>
      </c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</row>
    <row r="11" spans="1:62" x14ac:dyDescent="0.2">
      <c r="A11" s="77" t="s">
        <v>173</v>
      </c>
      <c r="B11" s="573" t="s">
        <v>549</v>
      </c>
      <c r="C11" s="584">
        <v>371.81102362204729</v>
      </c>
      <c r="D11" s="16"/>
      <c r="E11" s="17">
        <v>29.7</v>
      </c>
      <c r="F11" s="17">
        <v>0</v>
      </c>
      <c r="G11" s="271">
        <v>2058</v>
      </c>
      <c r="H11" s="271">
        <v>30</v>
      </c>
      <c r="I11" s="17">
        <v>0</v>
      </c>
      <c r="J11" s="271">
        <v>47.5</v>
      </c>
      <c r="K11" s="17">
        <v>40</v>
      </c>
      <c r="L11" s="271">
        <v>52.5</v>
      </c>
      <c r="M11" s="271">
        <v>1020</v>
      </c>
      <c r="N11" s="271">
        <v>76.09</v>
      </c>
      <c r="O11" s="58"/>
      <c r="P11" s="441">
        <f t="shared" si="5"/>
        <v>2117.6999999999998</v>
      </c>
      <c r="Q11" s="441">
        <f t="shared" si="0"/>
        <v>3323.79</v>
      </c>
      <c r="R11" s="533"/>
      <c r="S11" s="441" t="e">
        <f t="shared" si="6"/>
        <v>#REF!</v>
      </c>
      <c r="T11" s="441" t="e">
        <f t="shared" si="1"/>
        <v>#REF!</v>
      </c>
      <c r="U11" s="533"/>
      <c r="V11" s="441" t="e">
        <f ca="1">MAX(V$5:V$6)+IF($B$2="mil",1,0.0254)*DDR2Specs!$B$3</f>
        <v>#NAME?</v>
      </c>
      <c r="W11" s="441" t="e">
        <f ca="1">MIN(V$5:V$6)+IF($B$2="mil",1,0.0254)*DDR2Specs!$C$3</f>
        <v>#NAME?</v>
      </c>
      <c r="X11" s="18"/>
      <c r="Y11" s="534" t="e">
        <f t="shared" ca="1" si="7"/>
        <v>#REF!</v>
      </c>
      <c r="Z11" s="447" t="e">
        <f t="shared" ca="1" si="20"/>
        <v>#REF!</v>
      </c>
      <c r="AA11" s="18"/>
      <c r="AB11" s="441" t="e">
        <f ca="1">MAX(AB$5:AB$6)+IF($B$2="mil",1,0.0254)*DDR2Specs!$E$3</f>
        <v>#NAME?</v>
      </c>
      <c r="AC11" s="441" t="e">
        <f ca="1">MIN(AB$5:AB$6)+IF($B$2="mil",1,0.0254)*DDR2Specs!$F$3</f>
        <v>#NAME?</v>
      </c>
      <c r="AD11" s="18"/>
      <c r="AE11" s="534" t="e">
        <f t="shared" ca="1" si="8"/>
        <v>#REF!</v>
      </c>
      <c r="AF11" s="447" t="e">
        <f t="shared" ca="1" si="2"/>
        <v>#REF!</v>
      </c>
      <c r="AG11" s="447" t="e">
        <f t="shared" si="9"/>
        <v>#REF!</v>
      </c>
      <c r="AH11" s="447" t="e">
        <f t="shared" si="10"/>
        <v>#REF!</v>
      </c>
      <c r="AI11" s="447" t="e">
        <f t="shared" si="11"/>
        <v>#REF!</v>
      </c>
      <c r="AJ11" s="447" t="e">
        <f t="shared" ca="1" si="3"/>
        <v>#NAME?</v>
      </c>
      <c r="AK11" s="447" t="e">
        <f t="shared" si="12"/>
        <v>#REF!</v>
      </c>
      <c r="AL11" s="447" t="e">
        <f t="shared" si="13"/>
        <v>#REF!</v>
      </c>
      <c r="AM11" s="447" t="e">
        <f t="shared" ca="1" si="14"/>
        <v>#NAME?</v>
      </c>
      <c r="AN11" s="447" t="e">
        <f t="shared" ca="1" si="15"/>
        <v>#NAME?</v>
      </c>
      <c r="AO11" s="447" t="e">
        <f t="shared" si="4"/>
        <v>#REF!</v>
      </c>
      <c r="AP11" s="447" t="e">
        <f t="shared" si="16"/>
        <v>#REF!</v>
      </c>
      <c r="AQ11" s="447" t="e">
        <f t="shared" si="17"/>
        <v>#REF!</v>
      </c>
      <c r="AR11" s="447" t="e">
        <f t="shared" si="18"/>
        <v>#REF!</v>
      </c>
      <c r="AS11" s="18"/>
      <c r="AT11" s="2" t="e">
        <f t="shared" ca="1" si="19"/>
        <v>#REF!</v>
      </c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</row>
    <row r="12" spans="1:62" x14ac:dyDescent="0.2">
      <c r="A12" s="77" t="s">
        <v>174</v>
      </c>
      <c r="B12" s="573" t="s">
        <v>547</v>
      </c>
      <c r="C12" s="584">
        <v>392.75590551181108</v>
      </c>
      <c r="D12" s="16"/>
      <c r="E12" s="17">
        <v>29.7</v>
      </c>
      <c r="F12" s="17">
        <v>0</v>
      </c>
      <c r="G12" s="271">
        <v>2059.94</v>
      </c>
      <c r="H12" s="271">
        <v>10</v>
      </c>
      <c r="I12" s="17">
        <v>0</v>
      </c>
      <c r="J12" s="271">
        <v>51.64</v>
      </c>
      <c r="K12" s="17">
        <v>40</v>
      </c>
      <c r="L12" s="271">
        <v>46.64</v>
      </c>
      <c r="M12" s="271">
        <v>1000</v>
      </c>
      <c r="N12" s="271">
        <v>86.37</v>
      </c>
      <c r="O12" s="58"/>
      <c r="P12" s="441">
        <f t="shared" si="5"/>
        <v>2099.64</v>
      </c>
      <c r="Q12" s="441">
        <f t="shared" si="0"/>
        <v>3314.2899999999995</v>
      </c>
      <c r="R12" s="533"/>
      <c r="S12" s="441" t="e">
        <f t="shared" si="6"/>
        <v>#REF!</v>
      </c>
      <c r="T12" s="441" t="e">
        <f t="shared" si="1"/>
        <v>#REF!</v>
      </c>
      <c r="U12" s="533"/>
      <c r="V12" s="441" t="e">
        <f ca="1">MAX(V$5:V$6)+IF($B$2="mil",1,0.0254)*DDR2Specs!$B$3</f>
        <v>#NAME?</v>
      </c>
      <c r="W12" s="441" t="e">
        <f ca="1">MIN(V$5:V$6)+IF($B$2="mil",1,0.0254)*DDR2Specs!$C$3</f>
        <v>#NAME?</v>
      </c>
      <c r="X12" s="18"/>
      <c r="Y12" s="534" t="e">
        <f t="shared" ca="1" si="7"/>
        <v>#REF!</v>
      </c>
      <c r="Z12" s="447" t="e">
        <f t="shared" ca="1" si="20"/>
        <v>#REF!</v>
      </c>
      <c r="AA12" s="18"/>
      <c r="AB12" s="441" t="e">
        <f ca="1">MAX(AB$5:AB$6)+IF($B$2="mil",1,0.0254)*DDR2Specs!$E$3</f>
        <v>#NAME?</v>
      </c>
      <c r="AC12" s="441" t="e">
        <f ca="1">MIN(AB$5:AB$6)+IF($B$2="mil",1,0.0254)*DDR2Specs!$F$3</f>
        <v>#NAME?</v>
      </c>
      <c r="AD12" s="18"/>
      <c r="AE12" s="534" t="e">
        <f t="shared" ca="1" si="8"/>
        <v>#REF!</v>
      </c>
      <c r="AF12" s="447" t="e">
        <f t="shared" ca="1" si="2"/>
        <v>#REF!</v>
      </c>
      <c r="AG12" s="447" t="e">
        <f t="shared" si="9"/>
        <v>#REF!</v>
      </c>
      <c r="AH12" s="447" t="e">
        <f t="shared" si="10"/>
        <v>#REF!</v>
      </c>
      <c r="AI12" s="447" t="e">
        <f t="shared" si="11"/>
        <v>#REF!</v>
      </c>
      <c r="AJ12" s="447" t="e">
        <f t="shared" ca="1" si="3"/>
        <v>#NAME?</v>
      </c>
      <c r="AK12" s="447" t="e">
        <f t="shared" si="12"/>
        <v>#REF!</v>
      </c>
      <c r="AL12" s="447" t="e">
        <f t="shared" si="13"/>
        <v>#REF!</v>
      </c>
      <c r="AM12" s="447" t="e">
        <f t="shared" ca="1" si="14"/>
        <v>#NAME?</v>
      </c>
      <c r="AN12" s="447" t="e">
        <f t="shared" ca="1" si="15"/>
        <v>#NAME?</v>
      </c>
      <c r="AO12" s="447" t="e">
        <f t="shared" si="4"/>
        <v>#REF!</v>
      </c>
      <c r="AP12" s="447" t="e">
        <f t="shared" si="16"/>
        <v>#REF!</v>
      </c>
      <c r="AQ12" s="447" t="e">
        <f t="shared" si="17"/>
        <v>#REF!</v>
      </c>
      <c r="AR12" s="447" t="e">
        <f t="shared" si="18"/>
        <v>#REF!</v>
      </c>
      <c r="AS12" s="18"/>
      <c r="AT12" s="2" t="e">
        <f t="shared" ca="1" si="19"/>
        <v>#REF!</v>
      </c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</row>
    <row r="13" spans="1:62" x14ac:dyDescent="0.2">
      <c r="A13" s="77" t="s">
        <v>175</v>
      </c>
      <c r="B13" s="573" t="s">
        <v>391</v>
      </c>
      <c r="C13" s="584">
        <v>348.07086614173227</v>
      </c>
      <c r="D13" s="16"/>
      <c r="E13" s="17">
        <v>29.7</v>
      </c>
      <c r="F13" s="17">
        <v>0</v>
      </c>
      <c r="G13" s="271">
        <v>1932.94</v>
      </c>
      <c r="H13" s="271">
        <v>165</v>
      </c>
      <c r="I13" s="17">
        <v>0</v>
      </c>
      <c r="J13" s="271">
        <v>84.78</v>
      </c>
      <c r="K13" s="17">
        <v>40</v>
      </c>
      <c r="L13" s="271">
        <v>102</v>
      </c>
      <c r="M13" s="271">
        <v>1080</v>
      </c>
      <c r="N13" s="271">
        <v>76.09</v>
      </c>
      <c r="O13" s="58"/>
      <c r="P13" s="441">
        <f t="shared" si="5"/>
        <v>2127.6400000000003</v>
      </c>
      <c r="Q13" s="441">
        <f t="shared" si="0"/>
        <v>3345.51</v>
      </c>
      <c r="R13" s="533"/>
      <c r="S13" s="441" t="e">
        <f t="shared" si="6"/>
        <v>#REF!</v>
      </c>
      <c r="T13" s="441" t="e">
        <f t="shared" si="1"/>
        <v>#REF!</v>
      </c>
      <c r="U13" s="533"/>
      <c r="V13" s="441" t="e">
        <f ca="1">MAX(V$5:V$6)+IF($B$2="mil",1,0.0254)*DDR2Specs!$B$3</f>
        <v>#NAME?</v>
      </c>
      <c r="W13" s="441" t="e">
        <f ca="1">MIN(V$5:V$6)+IF($B$2="mil",1,0.0254)*DDR2Specs!$C$3</f>
        <v>#NAME?</v>
      </c>
      <c r="X13" s="18"/>
      <c r="Y13" s="534" t="e">
        <f t="shared" ca="1" si="7"/>
        <v>#REF!</v>
      </c>
      <c r="Z13" s="447" t="e">
        <f t="shared" ca="1" si="20"/>
        <v>#REF!</v>
      </c>
      <c r="AA13" s="18"/>
      <c r="AB13" s="441" t="e">
        <f ca="1">MAX(AB$5:AB$6)+IF($B$2="mil",1,0.0254)*DDR2Specs!$E$3</f>
        <v>#NAME?</v>
      </c>
      <c r="AC13" s="441" t="e">
        <f ca="1">MIN(AB$5:AB$6)+IF($B$2="mil",1,0.0254)*DDR2Specs!$F$3</f>
        <v>#NAME?</v>
      </c>
      <c r="AD13" s="18"/>
      <c r="AE13" s="534" t="e">
        <f t="shared" ca="1" si="8"/>
        <v>#REF!</v>
      </c>
      <c r="AF13" s="447" t="e">
        <f t="shared" ca="1" si="2"/>
        <v>#REF!</v>
      </c>
      <c r="AG13" s="447" t="e">
        <f t="shared" si="9"/>
        <v>#REF!</v>
      </c>
      <c r="AH13" s="447" t="e">
        <f t="shared" si="10"/>
        <v>#REF!</v>
      </c>
      <c r="AI13" s="447" t="e">
        <f t="shared" si="11"/>
        <v>#REF!</v>
      </c>
      <c r="AJ13" s="447" t="e">
        <f t="shared" ca="1" si="3"/>
        <v>#NAME?</v>
      </c>
      <c r="AK13" s="447" t="e">
        <f t="shared" si="12"/>
        <v>#REF!</v>
      </c>
      <c r="AL13" s="447" t="e">
        <f t="shared" si="13"/>
        <v>#REF!</v>
      </c>
      <c r="AM13" s="447" t="e">
        <f t="shared" ca="1" si="14"/>
        <v>#NAME?</v>
      </c>
      <c r="AN13" s="447" t="e">
        <f t="shared" ca="1" si="15"/>
        <v>#NAME?</v>
      </c>
      <c r="AO13" s="447" t="e">
        <f t="shared" si="4"/>
        <v>#REF!</v>
      </c>
      <c r="AP13" s="447" t="e">
        <f t="shared" si="16"/>
        <v>#REF!</v>
      </c>
      <c r="AQ13" s="447" t="e">
        <f t="shared" si="17"/>
        <v>#REF!</v>
      </c>
      <c r="AR13" s="447" t="e">
        <f t="shared" si="18"/>
        <v>#REF!</v>
      </c>
      <c r="AS13" s="18"/>
      <c r="AT13" s="2" t="e">
        <f t="shared" ca="1" si="19"/>
        <v>#REF!</v>
      </c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</row>
    <row r="14" spans="1:62" x14ac:dyDescent="0.2">
      <c r="A14" s="77" t="s">
        <v>176</v>
      </c>
      <c r="B14" s="573" t="s">
        <v>546</v>
      </c>
      <c r="C14" s="584">
        <v>531.10236220472439</v>
      </c>
      <c r="D14" s="16"/>
      <c r="E14" s="17">
        <v>29.7</v>
      </c>
      <c r="F14" s="17">
        <v>0</v>
      </c>
      <c r="G14" s="271">
        <v>1890</v>
      </c>
      <c r="H14" s="271">
        <v>40</v>
      </c>
      <c r="I14" s="17">
        <v>0</v>
      </c>
      <c r="J14" s="271">
        <v>49.81</v>
      </c>
      <c r="K14" s="17">
        <v>40</v>
      </c>
      <c r="L14" s="271">
        <v>52.5</v>
      </c>
      <c r="M14" s="271">
        <v>900</v>
      </c>
      <c r="N14" s="271">
        <v>200</v>
      </c>
      <c r="O14" s="58"/>
      <c r="P14" s="441">
        <f t="shared" si="5"/>
        <v>1959.7</v>
      </c>
      <c r="Q14" s="441">
        <f t="shared" si="0"/>
        <v>3162.01</v>
      </c>
      <c r="R14" s="533"/>
      <c r="S14" s="441" t="e">
        <f t="shared" si="6"/>
        <v>#REF!</v>
      </c>
      <c r="T14" s="441" t="e">
        <f t="shared" si="1"/>
        <v>#REF!</v>
      </c>
      <c r="U14" s="533"/>
      <c r="V14" s="441" t="e">
        <f ca="1">MAX(V$5:V$6)+IF($B$2="mil",1,0.0254)*DDR2Specs!$B$3</f>
        <v>#NAME?</v>
      </c>
      <c r="W14" s="441" t="e">
        <f ca="1">MIN(V$5:V$6)+IF($B$2="mil",1,0.0254)*DDR2Specs!$C$3</f>
        <v>#NAME?</v>
      </c>
      <c r="X14" s="18"/>
      <c r="Y14" s="534" t="e">
        <f t="shared" ca="1" si="7"/>
        <v>#REF!</v>
      </c>
      <c r="Z14" s="447" t="e">
        <f t="shared" ca="1" si="20"/>
        <v>#REF!</v>
      </c>
      <c r="AA14" s="18"/>
      <c r="AB14" s="441" t="e">
        <f ca="1">MAX(AB$5:AB$6)+IF($B$2="mil",1,0.0254)*DDR2Specs!$E$3</f>
        <v>#NAME?</v>
      </c>
      <c r="AC14" s="441" t="e">
        <f ca="1">MIN(AB$5:AB$6)+IF($B$2="mil",1,0.0254)*DDR2Specs!$F$3</f>
        <v>#NAME?</v>
      </c>
      <c r="AD14" s="18"/>
      <c r="AE14" s="534" t="e">
        <f t="shared" ca="1" si="8"/>
        <v>#REF!</v>
      </c>
      <c r="AF14" s="447" t="e">
        <f t="shared" ca="1" si="2"/>
        <v>#REF!</v>
      </c>
      <c r="AG14" s="447" t="e">
        <f t="shared" si="9"/>
        <v>#REF!</v>
      </c>
      <c r="AH14" s="447" t="e">
        <f t="shared" si="10"/>
        <v>#REF!</v>
      </c>
      <c r="AI14" s="447" t="e">
        <f t="shared" si="11"/>
        <v>#REF!</v>
      </c>
      <c r="AJ14" s="447" t="e">
        <f t="shared" ca="1" si="3"/>
        <v>#NAME?</v>
      </c>
      <c r="AK14" s="447" t="e">
        <f t="shared" si="12"/>
        <v>#REF!</v>
      </c>
      <c r="AL14" s="447" t="e">
        <f t="shared" si="13"/>
        <v>#REF!</v>
      </c>
      <c r="AM14" s="447" t="e">
        <f t="shared" ca="1" si="14"/>
        <v>#NAME?</v>
      </c>
      <c r="AN14" s="447" t="e">
        <f t="shared" ca="1" si="15"/>
        <v>#NAME?</v>
      </c>
      <c r="AO14" s="447" t="e">
        <f t="shared" si="4"/>
        <v>#REF!</v>
      </c>
      <c r="AP14" s="447" t="e">
        <f t="shared" si="16"/>
        <v>#REF!</v>
      </c>
      <c r="AQ14" s="447" t="e">
        <f t="shared" si="17"/>
        <v>#REF!</v>
      </c>
      <c r="AR14" s="447" t="e">
        <f t="shared" si="18"/>
        <v>#REF!</v>
      </c>
      <c r="AS14" s="18"/>
      <c r="AT14" s="2" t="e">
        <f t="shared" ca="1" si="19"/>
        <v>#REF!</v>
      </c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</row>
    <row r="15" spans="1:62" x14ac:dyDescent="0.2">
      <c r="A15" s="77" t="s">
        <v>177</v>
      </c>
      <c r="B15" s="587" t="s">
        <v>553</v>
      </c>
      <c r="C15" s="584">
        <v>364.88188976377955</v>
      </c>
      <c r="D15" s="16"/>
      <c r="E15" s="17">
        <v>29.7</v>
      </c>
      <c r="F15" s="17">
        <v>0</v>
      </c>
      <c r="G15" s="271">
        <v>2002.32</v>
      </c>
      <c r="H15" s="271">
        <v>78</v>
      </c>
      <c r="I15" s="17">
        <v>0</v>
      </c>
      <c r="J15" s="271">
        <v>55.78</v>
      </c>
      <c r="K15" s="17">
        <v>40</v>
      </c>
      <c r="L15" s="271">
        <v>54.57</v>
      </c>
      <c r="M15" s="271">
        <v>1118.69</v>
      </c>
      <c r="N15" s="271">
        <v>31.49</v>
      </c>
      <c r="O15" s="58"/>
      <c r="P15" s="441">
        <f t="shared" si="5"/>
        <v>2110.02</v>
      </c>
      <c r="Q15" s="441">
        <f>SUM(E15:G15,I15:N15)</f>
        <v>3332.55</v>
      </c>
      <c r="R15" s="533"/>
      <c r="S15" s="441" t="e">
        <f t="shared" si="6"/>
        <v>#REF!</v>
      </c>
      <c r="T15" s="441" t="e">
        <f t="shared" si="1"/>
        <v>#REF!</v>
      </c>
      <c r="U15" s="533"/>
      <c r="V15" s="441" t="e">
        <f ca="1">MAX(V$5:V$6)+IF($B$2="mil",1,0.0254)*DDR2Specs!$B$3</f>
        <v>#NAME?</v>
      </c>
      <c r="W15" s="441" t="e">
        <f ca="1">MIN(V$5:V$6)+IF($B$2="mil",1,0.0254)*DDR2Specs!$C$3</f>
        <v>#NAME?</v>
      </c>
      <c r="X15" s="18"/>
      <c r="Y15" s="534" t="e">
        <f t="shared" ca="1" si="7"/>
        <v>#REF!</v>
      </c>
      <c r="Z15" s="447" t="e">
        <f t="shared" ca="1" si="20"/>
        <v>#REF!</v>
      </c>
      <c r="AA15" s="18"/>
      <c r="AB15" s="441" t="e">
        <f ca="1">MAX(AB$5:AB$6)+IF($B$2="mil",1,0.0254)*DDR2Specs!$E$3</f>
        <v>#NAME?</v>
      </c>
      <c r="AC15" s="441" t="e">
        <f ca="1">MIN(AB$5:AB$6)+IF($B$2="mil",1,0.0254)*DDR2Specs!$F$3</f>
        <v>#NAME?</v>
      </c>
      <c r="AD15" s="18"/>
      <c r="AE15" s="534" t="e">
        <f t="shared" ca="1" si="8"/>
        <v>#REF!</v>
      </c>
      <c r="AF15" s="447" t="e">
        <f t="shared" ca="1" si="2"/>
        <v>#REF!</v>
      </c>
      <c r="AG15" s="447" t="e">
        <f t="shared" si="9"/>
        <v>#REF!</v>
      </c>
      <c r="AH15" s="447" t="e">
        <f t="shared" si="10"/>
        <v>#REF!</v>
      </c>
      <c r="AI15" s="447" t="e">
        <f t="shared" si="11"/>
        <v>#REF!</v>
      </c>
      <c r="AJ15" s="447" t="e">
        <f t="shared" ca="1" si="3"/>
        <v>#NAME?</v>
      </c>
      <c r="AK15" s="447" t="e">
        <f t="shared" si="12"/>
        <v>#REF!</v>
      </c>
      <c r="AL15" s="447" t="e">
        <f>IF($L15&lt;=IF($B$2="mil",1,0.0254)*125,"Pass",IF($B$2="mil",1,0.0254)*125-$L15)</f>
        <v>#REF!</v>
      </c>
      <c r="AM15" s="447" t="e">
        <f t="shared" ca="1" si="14"/>
        <v>#NAME?</v>
      </c>
      <c r="AN15" s="447" t="e">
        <f t="shared" ca="1" si="15"/>
        <v>#NAME?</v>
      </c>
      <c r="AO15" s="447" t="e">
        <f t="shared" si="4"/>
        <v>#REF!</v>
      </c>
      <c r="AP15" s="447" t="e">
        <f t="shared" si="16"/>
        <v>#REF!</v>
      </c>
      <c r="AQ15" s="447" t="e">
        <f t="shared" si="17"/>
        <v>#REF!</v>
      </c>
      <c r="AR15" s="447" t="e">
        <f t="shared" si="18"/>
        <v>#REF!</v>
      </c>
      <c r="AS15" s="18"/>
      <c r="AT15" s="2" t="e">
        <f t="shared" ca="1" si="19"/>
        <v>#REF!</v>
      </c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</row>
    <row r="16" spans="1:62" x14ac:dyDescent="0.2">
      <c r="A16" s="6" t="s">
        <v>246</v>
      </c>
      <c r="B16" s="588"/>
      <c r="C16" s="585"/>
      <c r="D16" s="51"/>
      <c r="E16" s="68" t="s">
        <v>69</v>
      </c>
      <c r="F16" s="68"/>
      <c r="G16" s="265"/>
      <c r="H16" s="265"/>
      <c r="I16" s="265"/>
      <c r="J16" s="265"/>
      <c r="K16" s="265"/>
      <c r="L16" s="265"/>
      <c r="M16" s="265"/>
      <c r="N16" s="265"/>
      <c r="O16" s="8"/>
      <c r="P16" s="68"/>
      <c r="Q16" s="68"/>
      <c r="R16" s="68"/>
      <c r="S16" s="539"/>
      <c r="T16" s="539"/>
      <c r="U16" s="539"/>
      <c r="V16" s="539"/>
      <c r="W16" s="540"/>
      <c r="X16" s="540"/>
      <c r="Y16" s="541"/>
      <c r="Z16" s="15"/>
      <c r="AA16" s="540"/>
      <c r="AB16" s="539"/>
      <c r="AC16" s="540"/>
      <c r="AD16" s="540"/>
      <c r="AE16" s="541"/>
      <c r="AF16" s="15"/>
      <c r="AG16" s="15"/>
      <c r="AH16" s="15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69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</row>
    <row r="17" spans="1:62" x14ac:dyDescent="0.2">
      <c r="A17" s="43" t="str">
        <f>'DDR2 Strobes - 1x16'!$A$9</f>
        <v>SA_DQS1</v>
      </c>
      <c r="B17" s="542" t="str">
        <f>'DDR2 Strobes - 1x16'!$B$9</f>
        <v>Y24</v>
      </c>
      <c r="C17" s="586"/>
      <c r="D17" s="44"/>
      <c r="E17" s="67"/>
      <c r="F17" s="67"/>
      <c r="G17" s="266"/>
      <c r="H17" s="266"/>
      <c r="I17" s="266"/>
      <c r="J17" s="266"/>
      <c r="K17" s="266"/>
      <c r="L17" s="266"/>
      <c r="M17" s="266"/>
      <c r="N17" s="266"/>
      <c r="O17" s="67"/>
      <c r="P17" s="67"/>
      <c r="Q17" s="67"/>
      <c r="R17" s="67"/>
      <c r="S17" s="48"/>
      <c r="T17" s="48"/>
      <c r="U17" s="48"/>
      <c r="V17" s="48" t="e">
        <f ca="1">GetSODIMMStrbLen($A17)</f>
        <v>#NAME?</v>
      </c>
      <c r="W17" s="48"/>
      <c r="X17" s="48"/>
      <c r="Y17" s="48"/>
      <c r="Z17" s="542"/>
      <c r="AA17" s="549" t="e">
        <f>"Strobe Pair to " &amp;#REF!</f>
        <v>#REF!</v>
      </c>
      <c r="AB17" s="48" t="e">
        <f ca="1">GetStrbLen(#REF!, "P")</f>
        <v>#NAME?</v>
      </c>
      <c r="AC17" s="48"/>
      <c r="AD17" s="48"/>
      <c r="AE17" s="48"/>
      <c r="AF17" s="542"/>
      <c r="AG17" s="542"/>
      <c r="AH17" s="542"/>
      <c r="AI17" s="542"/>
      <c r="AJ17" s="542"/>
      <c r="AK17" s="542"/>
      <c r="AL17" s="542"/>
      <c r="AM17" s="542"/>
      <c r="AN17" s="542"/>
      <c r="AO17" s="542"/>
      <c r="AP17" s="542"/>
      <c r="AQ17" s="542"/>
      <c r="AR17" s="542"/>
      <c r="AS17" s="48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</row>
    <row r="18" spans="1:62" x14ac:dyDescent="0.2">
      <c r="A18" s="43" t="str">
        <f>'DDR2 Strobes - 1x16'!$A$10</f>
        <v>SA_DQS1#</v>
      </c>
      <c r="B18" s="542" t="str">
        <f>'DDR2 Strobes - 1x16'!$B$10</f>
        <v>AA24</v>
      </c>
      <c r="C18" s="586"/>
      <c r="D18" s="44"/>
      <c r="E18" s="67"/>
      <c r="F18" s="67"/>
      <c r="G18" s="266"/>
      <c r="H18" s="266"/>
      <c r="I18" s="266"/>
      <c r="J18" s="266"/>
      <c r="K18" s="266"/>
      <c r="L18" s="266"/>
      <c r="M18" s="266"/>
      <c r="N18" s="266"/>
      <c r="O18" s="67"/>
      <c r="P18" s="67"/>
      <c r="Q18" s="536"/>
      <c r="R18" s="536"/>
      <c r="S18" s="537"/>
      <c r="T18" s="537"/>
      <c r="U18" s="48"/>
      <c r="V18" s="48" t="e">
        <f ca="1">GetSODIMMStrbLen($A18)</f>
        <v>#NAME?</v>
      </c>
      <c r="W18" s="48"/>
      <c r="X18" s="48"/>
      <c r="Y18" s="48"/>
      <c r="Z18" s="542"/>
      <c r="AA18" s="550" t="e">
        <f>"Strobe Pair to " &amp;#REF!</f>
        <v>#REF!</v>
      </c>
      <c r="AB18" s="48" t="e">
        <f ca="1">GetStrbLen(#REF!, "N")</f>
        <v>#NAME?</v>
      </c>
      <c r="AC18" s="48"/>
      <c r="AD18" s="48"/>
      <c r="AE18" s="48"/>
      <c r="AF18" s="542"/>
      <c r="AG18" s="542"/>
      <c r="AH18" s="542"/>
      <c r="AI18" s="543"/>
      <c r="AJ18" s="543"/>
      <c r="AK18" s="543"/>
      <c r="AL18" s="543"/>
      <c r="AM18" s="543"/>
      <c r="AN18" s="543"/>
      <c r="AO18" s="543"/>
      <c r="AP18" s="543"/>
      <c r="AQ18" s="543"/>
      <c r="AR18" s="543"/>
      <c r="AS18" s="48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</row>
    <row r="19" spans="1:62" x14ac:dyDescent="0.2">
      <c r="A19" s="77" t="s">
        <v>178</v>
      </c>
      <c r="B19" s="573" t="s">
        <v>544</v>
      </c>
      <c r="C19" s="584">
        <v>612.67716535433067</v>
      </c>
      <c r="D19" s="16"/>
      <c r="E19" s="17">
        <v>29.7</v>
      </c>
      <c r="F19" s="17">
        <v>0</v>
      </c>
      <c r="G19" s="393">
        <v>1864.06</v>
      </c>
      <c r="H19" s="271">
        <v>77.03</v>
      </c>
      <c r="I19" s="17">
        <v>0</v>
      </c>
      <c r="J19" s="271">
        <v>61.64</v>
      </c>
      <c r="K19" s="17">
        <v>40</v>
      </c>
      <c r="L19" s="271">
        <v>89.93</v>
      </c>
      <c r="M19" s="271">
        <v>1041.01</v>
      </c>
      <c r="N19" s="271">
        <v>79</v>
      </c>
      <c r="O19" s="58"/>
      <c r="P19" s="441">
        <f xml:space="preserve"> E19+F19+G19+H19</f>
        <v>1970.79</v>
      </c>
      <c r="Q19" s="441">
        <f t="shared" ref="Q19:Q26" si="21">SUM(E19:G19,I19:N19)</f>
        <v>3205.34</v>
      </c>
      <c r="R19" s="533"/>
      <c r="S19" s="441" t="e">
        <f>P19+IF($B$2="mil",1,0.0254)*C19</f>
        <v>#REF!</v>
      </c>
      <c r="T19" s="441" t="e">
        <f t="shared" ref="T19:T27" si="22">Q19+IF($B$2="mil",1,0.0254)*$C19</f>
        <v>#REF!</v>
      </c>
      <c r="U19" s="533"/>
      <c r="V19" s="441" t="e">
        <f ca="1">MAX(V$17:V$18)+IF($B$2="mil",1,0.0254)*DDR2Specs!$B$3</f>
        <v>#NAME?</v>
      </c>
      <c r="W19" s="441" t="e">
        <f ca="1">MIN(V$17:V$18)+IF($B$2="mil",1,0.0254)*DDR2Specs!$C$3</f>
        <v>#NAME?</v>
      </c>
      <c r="X19" s="18"/>
      <c r="Y19" s="534" t="e">
        <f ca="1">IF($S19&lt;$V19,$V19-$S19,"Pass")</f>
        <v>#REF!</v>
      </c>
      <c r="Z19" s="447" t="e">
        <f ca="1">IF($S19&gt;$W19,$S19-$W19,"Pass")</f>
        <v>#REF!</v>
      </c>
      <c r="AA19" s="18"/>
      <c r="AB19" s="441" t="e">
        <f ca="1">MAX(AB$17:AB$18)+IF($B$2="mil",1,0.0254)*DDR2Specs!$E$3</f>
        <v>#NAME?</v>
      </c>
      <c r="AC19" s="441" t="e">
        <f ca="1">MIN(AB$17:AB$18)+IF($B$2="mil",1,0.0254)*DDR2Specs!$F$3</f>
        <v>#NAME?</v>
      </c>
      <c r="AD19" s="18"/>
      <c r="AE19" s="534" t="e">
        <f t="shared" ref="AE19:AE27" ca="1" si="23">IF($T19&lt;$AB19,$AB19-$T19,"Pass")</f>
        <v>#REF!</v>
      </c>
      <c r="AF19" s="447" t="e">
        <f t="shared" ref="AF19:AF27" ca="1" si="24">IF($T19&gt;$AC19,$T19-$AC19,"Pass")</f>
        <v>#REF!</v>
      </c>
      <c r="AG19" s="447" t="e">
        <f t="shared" ref="AG19:AG27" si="25">IF($E19&lt;=IF($B$2="mil",1,0.0254)*50,"Pass",IF($B$2="mil",1,0.0254)*50-$E19)</f>
        <v>#REF!</v>
      </c>
      <c r="AH19" s="447" t="e">
        <f t="shared" ref="AH19:AH27" si="26">IF($F19&lt;=IF($B$2="mil",1,0.0254)*500,"Pass",IF($B$2="mil",1,0.0254)*500-$F19)</f>
        <v>#REF!</v>
      </c>
      <c r="AI19" s="447" t="e">
        <f>IF($H19&lt;=IF($B$2="mil",1,0.0254)*250,"Pass",IF($B$2="mil",1,0.0254)*250-$H19)</f>
        <v>#REF!</v>
      </c>
      <c r="AJ19" s="447" t="e">
        <f t="shared" ref="AJ19:AJ27" ca="1" si="27">CheckLength(IF($B$2="mil",1,0.0254)*1000, IF($B$2="mil",1,0.0254)*125-J19, 0, I19,J19,0)</f>
        <v>#NAME?</v>
      </c>
      <c r="AK19" s="447" t="e">
        <f>IF($J19&lt;=IF($B$2="mil",1,0.0254)*125,"Pass",IF($B$2="mil",1,0.0254)*125-$J19)</f>
        <v>#REF!</v>
      </c>
      <c r="AL19" s="447" t="e">
        <f>IF($L19&lt;=IF($B$2="mil",1,0.0254)*125,"Pass",IF($B$2="mil",1,0.0254)*125-$L19)</f>
        <v>#REF!</v>
      </c>
      <c r="AM19" s="447" t="e">
        <f ca="1">CheckLength(IF($B$2="mil",1,0.0254)*1250, IF($B$2="mil",1,0.0254)*125-L19, IF($B$2="mil",1,0.0254)*150-N19, M19,L19,N19)</f>
        <v>#NAME?</v>
      </c>
      <c r="AN19" s="447" t="e">
        <f t="shared" ref="AN19:AN27" ca="1" si="28">CheckLength2(IF($B$2="mil",1,0.0254)*1400,M19,N19,0)</f>
        <v>#NAME?</v>
      </c>
      <c r="AO19" s="447" t="e">
        <f t="shared" ref="AO19:AO27" si="29">IF(AND($P19&gt;=IF($B$2="mil",1,0.0254)*500, $P19&lt;=IF($B$2="mil",1,0.0254)*4000),"Pass",IF($B$2="mil",1,0.0254)*4000-$P19)</f>
        <v>#REF!</v>
      </c>
      <c r="AP19" s="447" t="e">
        <f t="shared" ref="AP19:AP27" si="30">IF(AND($S19&gt;=IF($B$2="mil",1,0.0254)*500, $S19&lt;=IF($B$2="mil",1,0.0254)*4500),"Pass",IF($B$2="mil",1,0.0254)*4500-$S19)</f>
        <v>#REF!</v>
      </c>
      <c r="AQ19" s="447" t="e">
        <f t="shared" ref="AQ19:AQ27" si="31">IF(AND($Q19&gt;=IF($B$2="mil",1,0.0254)*500, $Q19&lt;=IF($B$2="mil",1,0.0254)*5500),"Pass",IF($B$2="mil",1,0.0254)*5500-$Q19)</f>
        <v>#REF!</v>
      </c>
      <c r="AR19" s="447" t="e">
        <f t="shared" ref="AR19:AR27" si="32">IF(AND($T19&gt;=IF($B$2="mil",1,0.0254)*500, $T19&lt;=IF($B$2="mil",1,0.0254)*6000),"Pass",IF($B$2="mil",1,0.0254)*6000-$T19)</f>
        <v>#REF!</v>
      </c>
      <c r="AS19" s="18"/>
      <c r="AT19" s="2" t="e">
        <f t="shared" ref="AT19:AT27" ca="1" si="33">IF(AND(AG19="Pass",AP19="Pass",AI19="Pass",AH19="Pass",AO19="Pass",Y19="Pass",Z19="Pass",AN19="Pass",AM19="Pass",AL19="Pass",AK19="Pass",AJ19="Pass",AE19="Pass",AF19="Pass",AQ19="Pass",AR19="Pass"),"Pass","Fail")</f>
        <v>#REF!</v>
      </c>
      <c r="AU19" s="2" t="e">
        <f ca="1">IF(AND(AT19="Pass",AT20="Pass",AT21="Pass",AT22="Pass",AT23="Pass",AT24="Pass",AT25="Pass",AT26="Pass",AT27="Pass"),"Pass","Fail")</f>
        <v>#REF!</v>
      </c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</row>
    <row r="20" spans="1:62" x14ac:dyDescent="0.2">
      <c r="A20" s="77" t="s">
        <v>179</v>
      </c>
      <c r="B20" s="573" t="s">
        <v>545</v>
      </c>
      <c r="C20" s="584">
        <v>627.75590551181108</v>
      </c>
      <c r="D20" s="16"/>
      <c r="E20" s="17">
        <v>29.7</v>
      </c>
      <c r="F20" s="17">
        <v>0</v>
      </c>
      <c r="G20" s="393">
        <v>1819.28</v>
      </c>
      <c r="H20" s="271">
        <v>121.81</v>
      </c>
      <c r="I20" s="17">
        <v>0</v>
      </c>
      <c r="J20" s="271">
        <v>104.93</v>
      </c>
      <c r="K20" s="17">
        <v>40</v>
      </c>
      <c r="L20" s="271">
        <v>120.8</v>
      </c>
      <c r="M20" s="271">
        <v>1000.63</v>
      </c>
      <c r="N20" s="271">
        <v>90</v>
      </c>
      <c r="O20" s="58"/>
      <c r="P20" s="441">
        <f t="shared" ref="P20:P27" si="34" xml:space="preserve"> E20+F20+G20+H20</f>
        <v>1970.79</v>
      </c>
      <c r="Q20" s="441">
        <f t="shared" si="21"/>
        <v>3205.34</v>
      </c>
      <c r="R20" s="533"/>
      <c r="S20" s="441" t="e">
        <f t="shared" ref="S20:S27" si="35">P20+IF($B$2="mil",1,0.0254)*C20</f>
        <v>#REF!</v>
      </c>
      <c r="T20" s="441" t="e">
        <f t="shared" si="22"/>
        <v>#REF!</v>
      </c>
      <c r="U20" s="533"/>
      <c r="V20" s="441" t="e">
        <f ca="1">MAX(V$17:V$18)+IF($B$2="mil",1,0.0254)*DDR2Specs!$B$3</f>
        <v>#NAME?</v>
      </c>
      <c r="W20" s="441" t="e">
        <f ca="1">MIN(V$17:V$18)+IF($B$2="mil",1,0.0254)*DDR2Specs!$C$3</f>
        <v>#NAME?</v>
      </c>
      <c r="X20" s="18"/>
      <c r="Y20" s="534" t="e">
        <f t="shared" ref="Y20:Y27" ca="1" si="36">IF($S20&lt;$V20,$V20-$S20,"Pass")</f>
        <v>#REF!</v>
      </c>
      <c r="Z20" s="447" t="e">
        <f t="shared" ref="Z20:Z27" ca="1" si="37">IF($S20&gt;$W20,$S20-$W20,"Pass")</f>
        <v>#REF!</v>
      </c>
      <c r="AA20" s="18"/>
      <c r="AB20" s="441" t="e">
        <f ca="1">MAX(AB$17:AB$18)+IF($B$2="mil",1,0.0254)*DDR2Specs!$E$3</f>
        <v>#NAME?</v>
      </c>
      <c r="AC20" s="441" t="e">
        <f ca="1">MIN(AB$17:AB$18)+IF($B$2="mil",1,0.0254)*DDR2Specs!$F$3</f>
        <v>#NAME?</v>
      </c>
      <c r="AD20" s="18"/>
      <c r="AE20" s="534" t="e">
        <f t="shared" ca="1" si="23"/>
        <v>#REF!</v>
      </c>
      <c r="AF20" s="447" t="e">
        <f t="shared" ca="1" si="24"/>
        <v>#REF!</v>
      </c>
      <c r="AG20" s="447" t="e">
        <f t="shared" si="25"/>
        <v>#REF!</v>
      </c>
      <c r="AH20" s="447" t="e">
        <f t="shared" si="26"/>
        <v>#REF!</v>
      </c>
      <c r="AI20" s="447" t="e">
        <f t="shared" ref="AI20:AI27" si="38">IF($H20&lt;=IF($B$2="mil",1,0.0254)*250,"Pass",IF($B$2="mil",1,0.0254)*250-$H20)</f>
        <v>#REF!</v>
      </c>
      <c r="AJ20" s="447" t="e">
        <f t="shared" ca="1" si="27"/>
        <v>#NAME?</v>
      </c>
      <c r="AK20" s="447" t="e">
        <f t="shared" ref="AK20:AK27" si="39">IF($J20&lt;=IF($B$2="mil",1,0.0254)*125,"Pass",IF($B$2="mil",1,0.0254)*125-$J20)</f>
        <v>#REF!</v>
      </c>
      <c r="AL20" s="447" t="e">
        <f t="shared" ref="AL20:AL27" si="40">IF($L20&lt;=IF($B$2="mil",1,0.0254)*125,"Pass",IF($B$2="mil",1,0.0254)*125-$L20)</f>
        <v>#REF!</v>
      </c>
      <c r="AM20" s="447" t="e">
        <f t="shared" ref="AM20:AM27" ca="1" si="41">CheckLength(IF($B$2="mil",1,0.0254)*1250, IF($B$2="mil",1,0.0254)*125-L20, IF($B$2="mil",1,0.0254)*150-N20, M20,L20,N20)</f>
        <v>#NAME?</v>
      </c>
      <c r="AN20" s="447" t="e">
        <f t="shared" ca="1" si="28"/>
        <v>#NAME?</v>
      </c>
      <c r="AO20" s="447" t="e">
        <f t="shared" si="29"/>
        <v>#REF!</v>
      </c>
      <c r="AP20" s="447" t="e">
        <f t="shared" si="30"/>
        <v>#REF!</v>
      </c>
      <c r="AQ20" s="447" t="e">
        <f t="shared" si="31"/>
        <v>#REF!</v>
      </c>
      <c r="AR20" s="447" t="e">
        <f t="shared" si="32"/>
        <v>#REF!</v>
      </c>
      <c r="AS20" s="18"/>
      <c r="AT20" s="2" t="e">
        <f t="shared" ca="1" si="33"/>
        <v>#REF!</v>
      </c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</row>
    <row r="21" spans="1:62" x14ac:dyDescent="0.2">
      <c r="A21" s="77" t="s">
        <v>180</v>
      </c>
      <c r="B21" s="582" t="s">
        <v>157</v>
      </c>
      <c r="C21" s="584">
        <v>625.43307086614175</v>
      </c>
      <c r="D21" s="16"/>
      <c r="E21" s="17">
        <v>29.7</v>
      </c>
      <c r="F21" s="17">
        <v>0</v>
      </c>
      <c r="G21" s="393">
        <v>1729.523543307087</v>
      </c>
      <c r="H21" s="271">
        <v>82.62</v>
      </c>
      <c r="I21" s="17">
        <v>0</v>
      </c>
      <c r="J21" s="271">
        <v>63.71</v>
      </c>
      <c r="K21" s="17">
        <v>40</v>
      </c>
      <c r="L21" s="271">
        <v>87.68</v>
      </c>
      <c r="M21" s="271">
        <v>1091.78</v>
      </c>
      <c r="N21" s="271">
        <v>34</v>
      </c>
      <c r="O21" s="58"/>
      <c r="P21" s="441">
        <f t="shared" si="34"/>
        <v>1841.8435433070872</v>
      </c>
      <c r="Q21" s="441">
        <f t="shared" si="21"/>
        <v>3076.3935433070874</v>
      </c>
      <c r="R21" s="533"/>
      <c r="S21" s="441" t="e">
        <f t="shared" si="35"/>
        <v>#REF!</v>
      </c>
      <c r="T21" s="441" t="e">
        <f t="shared" si="22"/>
        <v>#REF!</v>
      </c>
      <c r="U21" s="533"/>
      <c r="V21" s="441" t="e">
        <f ca="1">MAX(V$17:V$18)+IF($B$2="mil",1,0.0254)*DDR2Specs!$B$3</f>
        <v>#NAME?</v>
      </c>
      <c r="W21" s="441" t="e">
        <f ca="1">MIN(V$17:V$18)+IF($B$2="mil",1,0.0254)*DDR2Specs!$C$3</f>
        <v>#NAME?</v>
      </c>
      <c r="X21" s="18"/>
      <c r="Y21" s="534" t="e">
        <f t="shared" ca="1" si="36"/>
        <v>#REF!</v>
      </c>
      <c r="Z21" s="447" t="e">
        <f t="shared" ca="1" si="37"/>
        <v>#REF!</v>
      </c>
      <c r="AA21" s="18"/>
      <c r="AB21" s="441" t="e">
        <f ca="1">MAX(AB$17:AB$18)+IF($B$2="mil",1,0.0254)*DDR2Specs!$E$3</f>
        <v>#NAME?</v>
      </c>
      <c r="AC21" s="441" t="e">
        <f ca="1">MIN(AB$17:AB$18)+IF($B$2="mil",1,0.0254)*DDR2Specs!$F$3</f>
        <v>#NAME?</v>
      </c>
      <c r="AD21" s="18"/>
      <c r="AE21" s="534" t="e">
        <f t="shared" ca="1" si="23"/>
        <v>#REF!</v>
      </c>
      <c r="AF21" s="447" t="e">
        <f t="shared" ca="1" si="24"/>
        <v>#REF!</v>
      </c>
      <c r="AG21" s="447" t="e">
        <f t="shared" si="25"/>
        <v>#REF!</v>
      </c>
      <c r="AH21" s="447" t="e">
        <f t="shared" si="26"/>
        <v>#REF!</v>
      </c>
      <c r="AI21" s="447" t="e">
        <f t="shared" si="38"/>
        <v>#REF!</v>
      </c>
      <c r="AJ21" s="447" t="e">
        <f t="shared" ca="1" si="27"/>
        <v>#NAME?</v>
      </c>
      <c r="AK21" s="447" t="e">
        <f t="shared" si="39"/>
        <v>#REF!</v>
      </c>
      <c r="AL21" s="447" t="e">
        <f t="shared" si="40"/>
        <v>#REF!</v>
      </c>
      <c r="AM21" s="447" t="e">
        <f t="shared" ca="1" si="41"/>
        <v>#NAME?</v>
      </c>
      <c r="AN21" s="447" t="e">
        <f t="shared" ca="1" si="28"/>
        <v>#NAME?</v>
      </c>
      <c r="AO21" s="447" t="e">
        <f t="shared" si="29"/>
        <v>#REF!</v>
      </c>
      <c r="AP21" s="447" t="e">
        <f t="shared" si="30"/>
        <v>#REF!</v>
      </c>
      <c r="AQ21" s="447" t="e">
        <f t="shared" si="31"/>
        <v>#REF!</v>
      </c>
      <c r="AR21" s="447" t="e">
        <f t="shared" si="32"/>
        <v>#REF!</v>
      </c>
      <c r="AS21" s="18"/>
      <c r="AT21" s="2" t="e">
        <f t="shared" ca="1" si="33"/>
        <v>#REF!</v>
      </c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</row>
    <row r="22" spans="1:62" x14ac:dyDescent="0.2">
      <c r="A22" s="77" t="s">
        <v>181</v>
      </c>
      <c r="B22" s="582" t="s">
        <v>399</v>
      </c>
      <c r="C22" s="584">
        <v>667.04724409448829</v>
      </c>
      <c r="D22" s="16"/>
      <c r="E22" s="17">
        <v>29.7</v>
      </c>
      <c r="F22" s="17">
        <v>0</v>
      </c>
      <c r="G22" s="393">
        <v>1768.9146456692908</v>
      </c>
      <c r="H22" s="271">
        <v>124.41</v>
      </c>
      <c r="I22" s="17">
        <v>0</v>
      </c>
      <c r="J22" s="271">
        <v>102.86</v>
      </c>
      <c r="K22" s="17">
        <v>40</v>
      </c>
      <c r="L22" s="271">
        <v>120.25</v>
      </c>
      <c r="M22" s="271">
        <v>1047.8499999999999</v>
      </c>
      <c r="N22" s="271">
        <v>48</v>
      </c>
      <c r="O22" s="58"/>
      <c r="P22" s="441">
        <f t="shared" si="34"/>
        <v>1923.024645669291</v>
      </c>
      <c r="Q22" s="441">
        <f t="shared" si="21"/>
        <v>3157.5746456692909</v>
      </c>
      <c r="R22" s="533"/>
      <c r="S22" s="441" t="e">
        <f t="shared" si="35"/>
        <v>#REF!</v>
      </c>
      <c r="T22" s="441" t="e">
        <f t="shared" si="22"/>
        <v>#REF!</v>
      </c>
      <c r="U22" s="533"/>
      <c r="V22" s="441" t="e">
        <f ca="1">MAX(V$17:V$18)+IF($B$2="mil",1,0.0254)*DDR2Specs!$B$3</f>
        <v>#NAME?</v>
      </c>
      <c r="W22" s="441" t="e">
        <f ca="1">MIN(V$17:V$18)+IF($B$2="mil",1,0.0254)*DDR2Specs!$C$3</f>
        <v>#NAME?</v>
      </c>
      <c r="X22" s="18"/>
      <c r="Y22" s="534" t="e">
        <f t="shared" ca="1" si="36"/>
        <v>#REF!</v>
      </c>
      <c r="Z22" s="447" t="e">
        <f t="shared" ca="1" si="37"/>
        <v>#REF!</v>
      </c>
      <c r="AA22" s="18"/>
      <c r="AB22" s="441" t="e">
        <f ca="1">MAX(AB$17:AB$18)+IF($B$2="mil",1,0.0254)*DDR2Specs!$E$3</f>
        <v>#NAME?</v>
      </c>
      <c r="AC22" s="441" t="e">
        <f ca="1">MIN(AB$17:AB$18)+IF($B$2="mil",1,0.0254)*DDR2Specs!$F$3</f>
        <v>#NAME?</v>
      </c>
      <c r="AD22" s="18"/>
      <c r="AE22" s="534" t="e">
        <f t="shared" ca="1" si="23"/>
        <v>#REF!</v>
      </c>
      <c r="AF22" s="447" t="e">
        <f t="shared" ca="1" si="24"/>
        <v>#REF!</v>
      </c>
      <c r="AG22" s="447" t="e">
        <f t="shared" si="25"/>
        <v>#REF!</v>
      </c>
      <c r="AH22" s="447" t="e">
        <f t="shared" si="26"/>
        <v>#REF!</v>
      </c>
      <c r="AI22" s="447" t="e">
        <f t="shared" si="38"/>
        <v>#REF!</v>
      </c>
      <c r="AJ22" s="447" t="e">
        <f t="shared" ca="1" si="27"/>
        <v>#NAME?</v>
      </c>
      <c r="AK22" s="447" t="e">
        <f t="shared" si="39"/>
        <v>#REF!</v>
      </c>
      <c r="AL22" s="447" t="e">
        <f t="shared" si="40"/>
        <v>#REF!</v>
      </c>
      <c r="AM22" s="447" t="e">
        <f t="shared" ca="1" si="41"/>
        <v>#NAME?</v>
      </c>
      <c r="AN22" s="447" t="e">
        <f t="shared" ca="1" si="28"/>
        <v>#NAME?</v>
      </c>
      <c r="AO22" s="447" t="e">
        <f t="shared" si="29"/>
        <v>#REF!</v>
      </c>
      <c r="AP22" s="447" t="e">
        <f t="shared" si="30"/>
        <v>#REF!</v>
      </c>
      <c r="AQ22" s="447" t="e">
        <f t="shared" si="31"/>
        <v>#REF!</v>
      </c>
      <c r="AR22" s="447" t="e">
        <f t="shared" si="32"/>
        <v>#REF!</v>
      </c>
      <c r="AS22" s="18"/>
      <c r="AT22" s="2" t="e">
        <f t="shared" ca="1" si="33"/>
        <v>#REF!</v>
      </c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</row>
    <row r="23" spans="1:62" x14ac:dyDescent="0.2">
      <c r="A23" s="77" t="s">
        <v>182</v>
      </c>
      <c r="B23" s="573" t="s">
        <v>513</v>
      </c>
      <c r="C23" s="584">
        <v>600.07874015748041</v>
      </c>
      <c r="D23" s="16"/>
      <c r="E23" s="17">
        <v>29.7</v>
      </c>
      <c r="F23" s="17">
        <v>0</v>
      </c>
      <c r="G23" s="393">
        <v>1869.438582677165</v>
      </c>
      <c r="H23" s="271">
        <v>62.39</v>
      </c>
      <c r="I23" s="17">
        <v>0</v>
      </c>
      <c r="J23" s="271">
        <v>47.73</v>
      </c>
      <c r="K23" s="17">
        <v>40</v>
      </c>
      <c r="L23" s="271">
        <v>56.64</v>
      </c>
      <c r="M23" s="271">
        <v>1076.49</v>
      </c>
      <c r="N23" s="271">
        <v>76.08</v>
      </c>
      <c r="O23" s="58"/>
      <c r="P23" s="441">
        <f t="shared" si="34"/>
        <v>1961.5285826771651</v>
      </c>
      <c r="Q23" s="441">
        <f t="shared" si="21"/>
        <v>3196.0785826771653</v>
      </c>
      <c r="R23" s="533"/>
      <c r="S23" s="441" t="e">
        <f t="shared" si="35"/>
        <v>#REF!</v>
      </c>
      <c r="T23" s="441" t="e">
        <f t="shared" si="22"/>
        <v>#REF!</v>
      </c>
      <c r="U23" s="533"/>
      <c r="V23" s="441" t="e">
        <f ca="1">MAX(V$17:V$18)+IF($B$2="mil",1,0.0254)*DDR2Specs!$B$3</f>
        <v>#NAME?</v>
      </c>
      <c r="W23" s="441" t="e">
        <f ca="1">MIN(V$17:V$18)+IF($B$2="mil",1,0.0254)*DDR2Specs!$C$3</f>
        <v>#NAME?</v>
      </c>
      <c r="X23" s="18"/>
      <c r="Y23" s="534" t="e">
        <f t="shared" ca="1" si="36"/>
        <v>#REF!</v>
      </c>
      <c r="Z23" s="447" t="e">
        <f t="shared" ca="1" si="37"/>
        <v>#REF!</v>
      </c>
      <c r="AA23" s="18"/>
      <c r="AB23" s="441" t="e">
        <f ca="1">MAX(AB$17:AB$18)+IF($B$2="mil",1,0.0254)*DDR2Specs!$E$3</f>
        <v>#NAME?</v>
      </c>
      <c r="AC23" s="441" t="e">
        <f ca="1">MIN(AB$17:AB$18)+IF($B$2="mil",1,0.0254)*DDR2Specs!$F$3</f>
        <v>#NAME?</v>
      </c>
      <c r="AD23" s="18"/>
      <c r="AE23" s="534" t="e">
        <f t="shared" ca="1" si="23"/>
        <v>#REF!</v>
      </c>
      <c r="AF23" s="447" t="e">
        <f t="shared" ca="1" si="24"/>
        <v>#REF!</v>
      </c>
      <c r="AG23" s="447" t="e">
        <f t="shared" si="25"/>
        <v>#REF!</v>
      </c>
      <c r="AH23" s="447" t="e">
        <f t="shared" si="26"/>
        <v>#REF!</v>
      </c>
      <c r="AI23" s="447" t="e">
        <f t="shared" si="38"/>
        <v>#REF!</v>
      </c>
      <c r="AJ23" s="447" t="e">
        <f t="shared" ca="1" si="27"/>
        <v>#NAME?</v>
      </c>
      <c r="AK23" s="447" t="e">
        <f t="shared" si="39"/>
        <v>#REF!</v>
      </c>
      <c r="AL23" s="447" t="e">
        <f t="shared" si="40"/>
        <v>#REF!</v>
      </c>
      <c r="AM23" s="447" t="e">
        <f t="shared" ca="1" si="41"/>
        <v>#NAME?</v>
      </c>
      <c r="AN23" s="447" t="e">
        <f t="shared" ca="1" si="28"/>
        <v>#NAME?</v>
      </c>
      <c r="AO23" s="447" t="e">
        <f t="shared" si="29"/>
        <v>#REF!</v>
      </c>
      <c r="AP23" s="447" t="e">
        <f t="shared" si="30"/>
        <v>#REF!</v>
      </c>
      <c r="AQ23" s="447" t="e">
        <f t="shared" si="31"/>
        <v>#REF!</v>
      </c>
      <c r="AR23" s="447" t="e">
        <f t="shared" si="32"/>
        <v>#REF!</v>
      </c>
      <c r="AS23" s="18"/>
      <c r="AT23" s="2" t="e">
        <f t="shared" ca="1" si="33"/>
        <v>#REF!</v>
      </c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</row>
    <row r="24" spans="1:62" x14ac:dyDescent="0.2">
      <c r="A24" s="77" t="s">
        <v>183</v>
      </c>
      <c r="B24" s="436" t="s">
        <v>514</v>
      </c>
      <c r="C24" s="584">
        <v>655.98425196850394</v>
      </c>
      <c r="D24" s="16"/>
      <c r="E24" s="17">
        <v>29.7</v>
      </c>
      <c r="F24" s="17">
        <v>0</v>
      </c>
      <c r="G24" s="393">
        <v>1845.7413385826769</v>
      </c>
      <c r="H24" s="271">
        <v>89.04</v>
      </c>
      <c r="I24" s="17">
        <v>0</v>
      </c>
      <c r="J24" s="271">
        <v>79.47</v>
      </c>
      <c r="K24" s="17">
        <v>40</v>
      </c>
      <c r="L24" s="271">
        <v>99.93</v>
      </c>
      <c r="M24" s="271">
        <v>988.18999999999937</v>
      </c>
      <c r="N24" s="271">
        <v>116</v>
      </c>
      <c r="O24" s="58"/>
      <c r="P24" s="441">
        <f t="shared" si="34"/>
        <v>1964.4813385826769</v>
      </c>
      <c r="Q24" s="441">
        <f t="shared" si="21"/>
        <v>3199.0313385826767</v>
      </c>
      <c r="R24" s="533"/>
      <c r="S24" s="441" t="e">
        <f t="shared" si="35"/>
        <v>#REF!</v>
      </c>
      <c r="T24" s="441" t="e">
        <f t="shared" si="22"/>
        <v>#REF!</v>
      </c>
      <c r="U24" s="533"/>
      <c r="V24" s="441" t="e">
        <f ca="1">MAX(V$17:V$18)+IF($B$2="mil",1,0.0254)*DDR2Specs!$B$3</f>
        <v>#NAME?</v>
      </c>
      <c r="W24" s="441" t="e">
        <f ca="1">MIN(V$17:V$18)+IF($B$2="mil",1,0.0254)*DDR2Specs!$C$3</f>
        <v>#NAME?</v>
      </c>
      <c r="X24" s="18"/>
      <c r="Y24" s="534" t="e">
        <f t="shared" ca="1" si="36"/>
        <v>#REF!</v>
      </c>
      <c r="Z24" s="447" t="e">
        <f t="shared" ca="1" si="37"/>
        <v>#REF!</v>
      </c>
      <c r="AA24" s="18"/>
      <c r="AB24" s="441" t="e">
        <f ca="1">MAX(AB$17:AB$18)+IF($B$2="mil",1,0.0254)*DDR2Specs!$E$3</f>
        <v>#NAME?</v>
      </c>
      <c r="AC24" s="441" t="e">
        <f ca="1">MIN(AB$17:AB$18)+IF($B$2="mil",1,0.0254)*DDR2Specs!$F$3</f>
        <v>#NAME?</v>
      </c>
      <c r="AD24" s="18"/>
      <c r="AE24" s="534" t="e">
        <f t="shared" ca="1" si="23"/>
        <v>#REF!</v>
      </c>
      <c r="AF24" s="447" t="e">
        <f t="shared" ca="1" si="24"/>
        <v>#REF!</v>
      </c>
      <c r="AG24" s="447" t="e">
        <f t="shared" si="25"/>
        <v>#REF!</v>
      </c>
      <c r="AH24" s="447" t="e">
        <f t="shared" si="26"/>
        <v>#REF!</v>
      </c>
      <c r="AI24" s="447" t="e">
        <f t="shared" si="38"/>
        <v>#REF!</v>
      </c>
      <c r="AJ24" s="447" t="e">
        <f t="shared" ca="1" si="27"/>
        <v>#NAME?</v>
      </c>
      <c r="AK24" s="447" t="e">
        <f t="shared" si="39"/>
        <v>#REF!</v>
      </c>
      <c r="AL24" s="447" t="e">
        <f t="shared" si="40"/>
        <v>#REF!</v>
      </c>
      <c r="AM24" s="447" t="e">
        <f t="shared" ca="1" si="41"/>
        <v>#NAME?</v>
      </c>
      <c r="AN24" s="447" t="e">
        <f t="shared" ca="1" si="28"/>
        <v>#NAME?</v>
      </c>
      <c r="AO24" s="447" t="e">
        <f t="shared" si="29"/>
        <v>#REF!</v>
      </c>
      <c r="AP24" s="447" t="e">
        <f t="shared" si="30"/>
        <v>#REF!</v>
      </c>
      <c r="AQ24" s="447" t="e">
        <f t="shared" si="31"/>
        <v>#REF!</v>
      </c>
      <c r="AR24" s="447" t="e">
        <f t="shared" si="32"/>
        <v>#REF!</v>
      </c>
      <c r="AS24" s="18"/>
      <c r="AT24" s="2" t="e">
        <f t="shared" ca="1" si="33"/>
        <v>#REF!</v>
      </c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</row>
    <row r="25" spans="1:62" x14ac:dyDescent="0.2">
      <c r="A25" s="77" t="s">
        <v>281</v>
      </c>
      <c r="B25" s="573" t="s">
        <v>515</v>
      </c>
      <c r="C25" s="584">
        <v>589.64566929133866</v>
      </c>
      <c r="D25" s="16"/>
      <c r="E25" s="17">
        <v>29.7</v>
      </c>
      <c r="F25" s="17">
        <v>0</v>
      </c>
      <c r="G25" s="393">
        <v>1828.2611023622048</v>
      </c>
      <c r="H25" s="271">
        <v>63.41</v>
      </c>
      <c r="I25" s="17">
        <v>0</v>
      </c>
      <c r="J25" s="271">
        <v>51.64</v>
      </c>
      <c r="K25" s="17">
        <v>40</v>
      </c>
      <c r="L25" s="271">
        <v>56.64</v>
      </c>
      <c r="M25" s="271">
        <v>1077.49</v>
      </c>
      <c r="N25" s="271">
        <v>72.19</v>
      </c>
      <c r="O25" s="58"/>
      <c r="P25" s="441">
        <f t="shared" si="34"/>
        <v>1921.371102362205</v>
      </c>
      <c r="Q25" s="441">
        <f t="shared" si="21"/>
        <v>3155.9211023622051</v>
      </c>
      <c r="R25" s="533"/>
      <c r="S25" s="441" t="e">
        <f t="shared" si="35"/>
        <v>#REF!</v>
      </c>
      <c r="T25" s="441" t="e">
        <f t="shared" si="22"/>
        <v>#REF!</v>
      </c>
      <c r="U25" s="533"/>
      <c r="V25" s="441" t="e">
        <f ca="1">MAX(V$17:V$18)+IF($B$2="mil",1,0.0254)*DDR2Specs!$B$3</f>
        <v>#NAME?</v>
      </c>
      <c r="W25" s="441" t="e">
        <f ca="1">MIN(V$17:V$18)+IF($B$2="mil",1,0.0254)*DDR2Specs!$C$3</f>
        <v>#NAME?</v>
      </c>
      <c r="X25" s="18"/>
      <c r="Y25" s="534" t="e">
        <f t="shared" ca="1" si="36"/>
        <v>#REF!</v>
      </c>
      <c r="Z25" s="447" t="e">
        <f t="shared" ca="1" si="37"/>
        <v>#REF!</v>
      </c>
      <c r="AA25" s="18"/>
      <c r="AB25" s="441" t="e">
        <f ca="1">MAX(AB$17:AB$18)+IF($B$2="mil",1,0.0254)*DDR2Specs!$E$3</f>
        <v>#NAME?</v>
      </c>
      <c r="AC25" s="441" t="e">
        <f ca="1">MIN(AB$17:AB$18)+IF($B$2="mil",1,0.0254)*DDR2Specs!$F$3</f>
        <v>#NAME?</v>
      </c>
      <c r="AD25" s="18"/>
      <c r="AE25" s="534" t="e">
        <f t="shared" ca="1" si="23"/>
        <v>#REF!</v>
      </c>
      <c r="AF25" s="447" t="e">
        <f t="shared" ca="1" si="24"/>
        <v>#REF!</v>
      </c>
      <c r="AG25" s="447" t="e">
        <f t="shared" si="25"/>
        <v>#REF!</v>
      </c>
      <c r="AH25" s="447" t="e">
        <f t="shared" si="26"/>
        <v>#REF!</v>
      </c>
      <c r="AI25" s="447" t="e">
        <f t="shared" si="38"/>
        <v>#REF!</v>
      </c>
      <c r="AJ25" s="447" t="e">
        <f t="shared" ca="1" si="27"/>
        <v>#NAME?</v>
      </c>
      <c r="AK25" s="447" t="e">
        <f t="shared" si="39"/>
        <v>#REF!</v>
      </c>
      <c r="AL25" s="447" t="e">
        <f t="shared" si="40"/>
        <v>#REF!</v>
      </c>
      <c r="AM25" s="447" t="e">
        <f t="shared" ca="1" si="41"/>
        <v>#NAME?</v>
      </c>
      <c r="AN25" s="447" t="e">
        <f t="shared" ca="1" si="28"/>
        <v>#NAME?</v>
      </c>
      <c r="AO25" s="447" t="e">
        <f t="shared" si="29"/>
        <v>#REF!</v>
      </c>
      <c r="AP25" s="447" t="e">
        <f t="shared" si="30"/>
        <v>#REF!</v>
      </c>
      <c r="AQ25" s="447" t="e">
        <f t="shared" si="31"/>
        <v>#REF!</v>
      </c>
      <c r="AR25" s="447" t="e">
        <f t="shared" si="32"/>
        <v>#REF!</v>
      </c>
      <c r="AS25" s="18"/>
      <c r="AT25" s="2" t="e">
        <f t="shared" ca="1" si="33"/>
        <v>#REF!</v>
      </c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</row>
    <row r="26" spans="1:62" x14ac:dyDescent="0.2">
      <c r="A26" s="77" t="s">
        <v>184</v>
      </c>
      <c r="B26" s="573" t="s">
        <v>516</v>
      </c>
      <c r="C26" s="584">
        <v>669.29133858267721</v>
      </c>
      <c r="D26" s="16"/>
      <c r="E26" s="17">
        <v>29.7</v>
      </c>
      <c r="F26" s="17">
        <v>0</v>
      </c>
      <c r="G26" s="393">
        <v>1744.928897637795</v>
      </c>
      <c r="H26" s="271">
        <v>134.38</v>
      </c>
      <c r="I26" s="17">
        <v>0</v>
      </c>
      <c r="J26" s="271">
        <v>95.13</v>
      </c>
      <c r="K26" s="17">
        <v>40</v>
      </c>
      <c r="L26" s="271">
        <v>54.57</v>
      </c>
      <c r="M26" s="271">
        <v>1103.18</v>
      </c>
      <c r="N26" s="271">
        <v>76.05</v>
      </c>
      <c r="O26" s="58"/>
      <c r="P26" s="441">
        <f t="shared" si="34"/>
        <v>1909.0088976377951</v>
      </c>
      <c r="Q26" s="441">
        <f t="shared" si="21"/>
        <v>3143.5588976377953</v>
      </c>
      <c r="R26" s="533"/>
      <c r="S26" s="441" t="e">
        <f t="shared" si="35"/>
        <v>#REF!</v>
      </c>
      <c r="T26" s="441" t="e">
        <f t="shared" si="22"/>
        <v>#REF!</v>
      </c>
      <c r="U26" s="533"/>
      <c r="V26" s="441" t="e">
        <f ca="1">MAX(V$17:V$18)+IF($B$2="mil",1,0.0254)*DDR2Specs!$B$3</f>
        <v>#NAME?</v>
      </c>
      <c r="W26" s="441" t="e">
        <f ca="1">MIN(V$17:V$18)+IF($B$2="mil",1,0.0254)*DDR2Specs!$C$3</f>
        <v>#NAME?</v>
      </c>
      <c r="X26" s="18"/>
      <c r="Y26" s="534" t="e">
        <f t="shared" ca="1" si="36"/>
        <v>#REF!</v>
      </c>
      <c r="Z26" s="447" t="e">
        <f t="shared" ca="1" si="37"/>
        <v>#REF!</v>
      </c>
      <c r="AA26" s="18"/>
      <c r="AB26" s="441" t="e">
        <f ca="1">MAX(AB$17:AB$18)+IF($B$2="mil",1,0.0254)*DDR2Specs!$E$3</f>
        <v>#NAME?</v>
      </c>
      <c r="AC26" s="441" t="e">
        <f ca="1">MIN(AB$17:AB$18)+IF($B$2="mil",1,0.0254)*DDR2Specs!$F$3</f>
        <v>#NAME?</v>
      </c>
      <c r="AD26" s="18"/>
      <c r="AE26" s="534" t="e">
        <f t="shared" ca="1" si="23"/>
        <v>#REF!</v>
      </c>
      <c r="AF26" s="447" t="e">
        <f t="shared" ca="1" si="24"/>
        <v>#REF!</v>
      </c>
      <c r="AG26" s="447" t="e">
        <f t="shared" si="25"/>
        <v>#REF!</v>
      </c>
      <c r="AH26" s="447" t="e">
        <f t="shared" si="26"/>
        <v>#REF!</v>
      </c>
      <c r="AI26" s="447" t="e">
        <f t="shared" si="38"/>
        <v>#REF!</v>
      </c>
      <c r="AJ26" s="447" t="e">
        <f t="shared" ca="1" si="27"/>
        <v>#NAME?</v>
      </c>
      <c r="AK26" s="447" t="e">
        <f t="shared" si="39"/>
        <v>#REF!</v>
      </c>
      <c r="AL26" s="447" t="e">
        <f t="shared" si="40"/>
        <v>#REF!</v>
      </c>
      <c r="AM26" s="447" t="e">
        <f t="shared" ca="1" si="41"/>
        <v>#NAME?</v>
      </c>
      <c r="AN26" s="447" t="e">
        <f t="shared" ca="1" si="28"/>
        <v>#NAME?</v>
      </c>
      <c r="AO26" s="447" t="e">
        <f t="shared" si="29"/>
        <v>#REF!</v>
      </c>
      <c r="AP26" s="447" t="e">
        <f t="shared" si="30"/>
        <v>#REF!</v>
      </c>
      <c r="AQ26" s="447" t="e">
        <f t="shared" si="31"/>
        <v>#REF!</v>
      </c>
      <c r="AR26" s="447" t="e">
        <f t="shared" si="32"/>
        <v>#REF!</v>
      </c>
      <c r="AS26" s="18"/>
      <c r="AT26" s="2" t="e">
        <f t="shared" ca="1" si="33"/>
        <v>#REF!</v>
      </c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</row>
    <row r="27" spans="1:62" x14ac:dyDescent="0.2">
      <c r="A27" s="77" t="s">
        <v>185</v>
      </c>
      <c r="B27" s="587" t="s">
        <v>554</v>
      </c>
      <c r="C27" s="584">
        <v>627.91338582677167</v>
      </c>
      <c r="D27" s="16"/>
      <c r="E27" s="17">
        <v>29.7</v>
      </c>
      <c r="F27" s="17">
        <v>0</v>
      </c>
      <c r="G27" s="393">
        <v>1879.97</v>
      </c>
      <c r="H27" s="271">
        <v>62.12</v>
      </c>
      <c r="I27" s="17">
        <v>0</v>
      </c>
      <c r="J27" s="271">
        <v>49.57</v>
      </c>
      <c r="K27" s="17">
        <v>40</v>
      </c>
      <c r="L27" s="271">
        <v>49.57</v>
      </c>
      <c r="M27" s="271">
        <v>1123.53</v>
      </c>
      <c r="N27" s="271">
        <v>34</v>
      </c>
      <c r="O27" s="58"/>
      <c r="P27" s="441">
        <f t="shared" si="34"/>
        <v>1971.79</v>
      </c>
      <c r="Q27" s="441">
        <f>SUM(E27:G27,I27:N27)</f>
        <v>3206.34</v>
      </c>
      <c r="R27" s="533"/>
      <c r="S27" s="441" t="e">
        <f t="shared" si="35"/>
        <v>#REF!</v>
      </c>
      <c r="T27" s="441" t="e">
        <f t="shared" si="22"/>
        <v>#REF!</v>
      </c>
      <c r="U27" s="533"/>
      <c r="V27" s="441" t="e">
        <f ca="1">MAX(V$17:V$18)+IF($B$2="mil",1,0.0254)*DDR2Specs!$B$3</f>
        <v>#NAME?</v>
      </c>
      <c r="W27" s="441" t="e">
        <f ca="1">MIN(V$17:V$18)+IF($B$2="mil",1,0.0254)*DDR2Specs!$C$3</f>
        <v>#NAME?</v>
      </c>
      <c r="X27" s="18"/>
      <c r="Y27" s="534" t="e">
        <f t="shared" ca="1" si="36"/>
        <v>#REF!</v>
      </c>
      <c r="Z27" s="447" t="e">
        <f t="shared" ca="1" si="37"/>
        <v>#REF!</v>
      </c>
      <c r="AA27" s="18"/>
      <c r="AB27" s="441" t="e">
        <f ca="1">MAX(AB$17:AB$18)+IF($B$2="mil",1,0.0254)*DDR2Specs!$E$3</f>
        <v>#NAME?</v>
      </c>
      <c r="AC27" s="441" t="e">
        <f ca="1">MIN(AB$17:AB$18)+IF($B$2="mil",1,0.0254)*DDR2Specs!$F$3</f>
        <v>#NAME?</v>
      </c>
      <c r="AD27" s="18"/>
      <c r="AE27" s="534" t="e">
        <f t="shared" ca="1" si="23"/>
        <v>#REF!</v>
      </c>
      <c r="AF27" s="447" t="e">
        <f t="shared" ca="1" si="24"/>
        <v>#REF!</v>
      </c>
      <c r="AG27" s="447" t="e">
        <f t="shared" si="25"/>
        <v>#REF!</v>
      </c>
      <c r="AH27" s="447" t="e">
        <f t="shared" si="26"/>
        <v>#REF!</v>
      </c>
      <c r="AI27" s="447" t="e">
        <f t="shared" si="38"/>
        <v>#REF!</v>
      </c>
      <c r="AJ27" s="447" t="e">
        <f t="shared" ca="1" si="27"/>
        <v>#NAME?</v>
      </c>
      <c r="AK27" s="447" t="e">
        <f t="shared" si="39"/>
        <v>#REF!</v>
      </c>
      <c r="AL27" s="447" t="e">
        <f t="shared" si="40"/>
        <v>#REF!</v>
      </c>
      <c r="AM27" s="447" t="e">
        <f t="shared" ca="1" si="41"/>
        <v>#NAME?</v>
      </c>
      <c r="AN27" s="447" t="e">
        <f t="shared" ca="1" si="28"/>
        <v>#NAME?</v>
      </c>
      <c r="AO27" s="447" t="e">
        <f t="shared" si="29"/>
        <v>#REF!</v>
      </c>
      <c r="AP27" s="447" t="e">
        <f t="shared" si="30"/>
        <v>#REF!</v>
      </c>
      <c r="AQ27" s="447" t="e">
        <f t="shared" si="31"/>
        <v>#REF!</v>
      </c>
      <c r="AR27" s="447" t="e">
        <f t="shared" si="32"/>
        <v>#REF!</v>
      </c>
      <c r="AS27" s="18"/>
      <c r="AT27" s="2" t="e">
        <f t="shared" ca="1" si="33"/>
        <v>#REF!</v>
      </c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</row>
    <row r="28" spans="1:62" x14ac:dyDescent="0.2">
      <c r="A28" s="6" t="s">
        <v>247</v>
      </c>
      <c r="B28" s="588"/>
      <c r="C28" s="585"/>
      <c r="D28" s="51"/>
      <c r="E28" s="68"/>
      <c r="F28" s="68"/>
      <c r="G28" s="394"/>
      <c r="H28" s="265"/>
      <c r="I28" s="265"/>
      <c r="J28" s="265"/>
      <c r="K28" s="265"/>
      <c r="L28" s="265"/>
      <c r="M28" s="265"/>
      <c r="N28" s="265"/>
      <c r="O28" s="8"/>
      <c r="P28" s="68"/>
      <c r="Q28" s="68"/>
      <c r="R28" s="68"/>
      <c r="S28" s="539"/>
      <c r="T28" s="539"/>
      <c r="U28" s="539"/>
      <c r="V28" s="539"/>
      <c r="W28" s="540"/>
      <c r="X28" s="540"/>
      <c r="Y28" s="541"/>
      <c r="Z28" s="15"/>
      <c r="AA28" s="540"/>
      <c r="AB28" s="539"/>
      <c r="AC28" s="540"/>
      <c r="AD28" s="540"/>
      <c r="AE28" s="541"/>
      <c r="AF28" s="15"/>
      <c r="AG28" s="15"/>
      <c r="AH28" s="15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69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</row>
    <row r="29" spans="1:62" x14ac:dyDescent="0.2">
      <c r="A29" s="43" t="str">
        <f>'DDR2 Strobes - 1x16'!$A$14</f>
        <v>SA_DQS2</v>
      </c>
      <c r="B29" s="542" t="str">
        <f>'DDR2 Strobes - 1x16'!$B$14</f>
        <v>AB24</v>
      </c>
      <c r="C29" s="586"/>
      <c r="D29" s="44"/>
      <c r="E29" s="67"/>
      <c r="F29" s="67"/>
      <c r="G29" s="395"/>
      <c r="H29" s="266"/>
      <c r="I29" s="266"/>
      <c r="J29" s="266"/>
      <c r="K29" s="266"/>
      <c r="L29" s="266"/>
      <c r="M29" s="266"/>
      <c r="N29" s="266"/>
      <c r="O29" s="67"/>
      <c r="P29" s="67"/>
      <c r="Q29" s="67"/>
      <c r="R29" s="67"/>
      <c r="S29" s="48"/>
      <c r="T29" s="48"/>
      <c r="U29" s="48"/>
      <c r="V29" s="48" t="e">
        <f ca="1">GetSODIMMStrbLen($A29)</f>
        <v>#NAME?</v>
      </c>
      <c r="W29" s="48"/>
      <c r="X29" s="48"/>
      <c r="Y29" s="48"/>
      <c r="Z29" s="542"/>
      <c r="AA29" s="549" t="e">
        <f>"Strobe Pair to " &amp;#REF!</f>
        <v>#REF!</v>
      </c>
      <c r="AB29" s="48" t="e">
        <f ca="1">GetStrbLen(#REF!, "P")</f>
        <v>#NAME?</v>
      </c>
      <c r="AC29" s="48"/>
      <c r="AD29" s="48"/>
      <c r="AE29" s="48"/>
      <c r="AF29" s="542"/>
      <c r="AG29" s="542"/>
      <c r="AH29" s="542"/>
      <c r="AI29" s="542"/>
      <c r="AJ29" s="542"/>
      <c r="AK29" s="542"/>
      <c r="AL29" s="542"/>
      <c r="AM29" s="542"/>
      <c r="AN29" s="542"/>
      <c r="AO29" s="542"/>
      <c r="AP29" s="542"/>
      <c r="AQ29" s="542"/>
      <c r="AR29" s="542"/>
      <c r="AS29" s="48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</row>
    <row r="30" spans="1:62" x14ac:dyDescent="0.2">
      <c r="A30" s="43" t="str">
        <f>'DDR2 Strobes - 1x16'!$A$15</f>
        <v>SA_DQS2#</v>
      </c>
      <c r="B30" s="597" t="str">
        <f>'DDR2 Strobes - 1x16'!$B$15</f>
        <v>AB22</v>
      </c>
      <c r="C30" s="586"/>
      <c r="D30" s="44"/>
      <c r="E30" s="67"/>
      <c r="F30" s="67"/>
      <c r="G30" s="395"/>
      <c r="H30" s="266"/>
      <c r="I30" s="266"/>
      <c r="J30" s="266"/>
      <c r="K30" s="266"/>
      <c r="L30" s="266"/>
      <c r="M30" s="266"/>
      <c r="N30" s="266"/>
      <c r="O30" s="67"/>
      <c r="P30" s="67"/>
      <c r="Q30" s="536"/>
      <c r="R30" s="536"/>
      <c r="S30" s="537"/>
      <c r="T30" s="537"/>
      <c r="U30" s="48"/>
      <c r="V30" s="48" t="e">
        <f ca="1">GetSODIMMStrbLen($A30)</f>
        <v>#NAME?</v>
      </c>
      <c r="W30" s="48"/>
      <c r="X30" s="48"/>
      <c r="Y30" s="48"/>
      <c r="Z30" s="542"/>
      <c r="AA30" s="550" t="e">
        <f>"Strobe Pair to " &amp;#REF!</f>
        <v>#REF!</v>
      </c>
      <c r="AB30" s="48" t="e">
        <f ca="1">GetStrbLen(#REF!, "N")</f>
        <v>#NAME?</v>
      </c>
      <c r="AC30" s="48"/>
      <c r="AD30" s="48"/>
      <c r="AE30" s="48"/>
      <c r="AF30" s="542"/>
      <c r="AG30" s="542"/>
      <c r="AH30" s="542"/>
      <c r="AI30" s="543"/>
      <c r="AJ30" s="543"/>
      <c r="AK30" s="543"/>
      <c r="AL30" s="543"/>
      <c r="AM30" s="543"/>
      <c r="AN30" s="543"/>
      <c r="AO30" s="543"/>
      <c r="AP30" s="543"/>
      <c r="AQ30" s="543"/>
      <c r="AR30" s="543"/>
      <c r="AS30" s="48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</row>
    <row r="31" spans="1:62" x14ac:dyDescent="0.2">
      <c r="A31" s="77" t="s">
        <v>186</v>
      </c>
      <c r="B31" s="573" t="s">
        <v>517</v>
      </c>
      <c r="C31" s="584">
        <v>532.63779527559052</v>
      </c>
      <c r="D31" s="16"/>
      <c r="E31" s="17">
        <v>29.7</v>
      </c>
      <c r="F31" s="17">
        <v>0</v>
      </c>
      <c r="G31" s="393">
        <v>1743.9636220472435</v>
      </c>
      <c r="H31" s="271">
        <v>82.37</v>
      </c>
      <c r="I31" s="17">
        <v>0</v>
      </c>
      <c r="J31" s="271">
        <v>59.57</v>
      </c>
      <c r="K31" s="17">
        <v>40</v>
      </c>
      <c r="L31" s="271">
        <v>62.17</v>
      </c>
      <c r="M31" s="271">
        <v>1040.69</v>
      </c>
      <c r="N31" s="271">
        <v>78</v>
      </c>
      <c r="O31" s="58"/>
      <c r="P31" s="441">
        <f xml:space="preserve"> E31+F31+G31+H31</f>
        <v>1856.0336220472436</v>
      </c>
      <c r="Q31" s="441">
        <f>SUM(E31:G31,I31:N31)</f>
        <v>3054.0936220472436</v>
      </c>
      <c r="R31" s="533"/>
      <c r="S31" s="441" t="e">
        <f>P31+IF($B$2="mil",1,0.0254)*C31</f>
        <v>#REF!</v>
      </c>
      <c r="T31" s="441" t="e">
        <f t="shared" ref="T31:T39" si="42">Q31+IF($B$2="mil",1,0.0254)*$C31</f>
        <v>#REF!</v>
      </c>
      <c r="U31" s="533"/>
      <c r="V31" s="441" t="e">
        <f ca="1">MAX(V$29:V$30)+IF($B$2="mil",1,0.0254)*DDR2Specs!$B$3</f>
        <v>#NAME?</v>
      </c>
      <c r="W31" s="441" t="e">
        <f ca="1">MIN(V$29:V$30)+IF($B$2="mil",1,0.0254)*DDR2Specs!$C$3</f>
        <v>#NAME?</v>
      </c>
      <c r="X31" s="18"/>
      <c r="Y31" s="534" t="e">
        <f ca="1">IF($S31&lt;$V31,$V31-$S31,"Pass")</f>
        <v>#REF!</v>
      </c>
      <c r="Z31" s="447" t="e">
        <f ca="1">IF($S31&gt;$W31,$S31-$W31,"Pass")</f>
        <v>#REF!</v>
      </c>
      <c r="AA31" s="18"/>
      <c r="AB31" s="441" t="e">
        <f ca="1">MAX(AB$29:AB$30)+IF($B$2="mil",1,0.0254)*DDR2Specs!$E$3</f>
        <v>#NAME?</v>
      </c>
      <c r="AC31" s="441" t="e">
        <f ca="1">MIN(AB$29:AB$30)+IF($B$2="mil",1,0.0254)*DDR2Specs!$F$3</f>
        <v>#NAME?</v>
      </c>
      <c r="AD31" s="18"/>
      <c r="AE31" s="534" t="e">
        <f t="shared" ref="AE31:AE39" ca="1" si="43">IF($T31&lt;$AB31,$AB31-$T31,"Pass")</f>
        <v>#REF!</v>
      </c>
      <c r="AF31" s="447" t="e">
        <f t="shared" ref="AF31:AF39" ca="1" si="44">IF($T31&gt;$AC31,$T31-$AC31,"Pass")</f>
        <v>#REF!</v>
      </c>
      <c r="AG31" s="447" t="e">
        <f t="shared" ref="AG31:AG39" si="45">IF($E31&lt;=IF($B$2="mil",1,0.0254)*50,"Pass",IF($B$2="mil",1,0.0254)*50-$E31)</f>
        <v>#REF!</v>
      </c>
      <c r="AH31" s="447" t="e">
        <f t="shared" ref="AH31:AH39" si="46">IF($F31&lt;=IF($B$2="mil",1,0.0254)*500,"Pass",IF($B$2="mil",1,0.0254)*500-$F31)</f>
        <v>#REF!</v>
      </c>
      <c r="AI31" s="447" t="e">
        <f>IF($H31&lt;=IF($B$2="mil",1,0.0254)*250,"Pass",IF($B$2="mil",1,0.0254)*250-$H31)</f>
        <v>#REF!</v>
      </c>
      <c r="AJ31" s="447" t="e">
        <f t="shared" ref="AJ31:AJ39" ca="1" si="47">CheckLength(IF($B$2="mil",1,0.0254)*1000, IF($B$2="mil",1,0.0254)*125-J31, 0, I31,J31,0)</f>
        <v>#NAME?</v>
      </c>
      <c r="AK31" s="447" t="e">
        <f>IF($J31&lt;=IF($B$2="mil",1,0.0254)*125,"Pass",IF($B$2="mil",1,0.0254)*125-$J31)</f>
        <v>#REF!</v>
      </c>
      <c r="AL31" s="447" t="e">
        <f>IF($L31&lt;=IF($B$2="mil",1,0.0254)*125,"Pass",IF($B$2="mil",1,0.0254)*125-$L31)</f>
        <v>#REF!</v>
      </c>
      <c r="AM31" s="447" t="e">
        <f ca="1">CheckLength(IF($B$2="mil",1,0.0254)*1250, IF($B$2="mil",1,0.0254)*125-L31, IF($B$2="mil",1,0.0254)*150-N31, M31,L31,N31)</f>
        <v>#NAME?</v>
      </c>
      <c r="AN31" s="447" t="e">
        <f t="shared" ref="AN31:AN39" ca="1" si="48">CheckLength2(IF($B$2="mil",1,0.0254)*1400,M31,N31,0)</f>
        <v>#NAME?</v>
      </c>
      <c r="AO31" s="447" t="e">
        <f t="shared" ref="AO31:AO39" si="49">IF(AND($P31&gt;=IF($B$2="mil",1,0.0254)*500, $P31&lt;=IF($B$2="mil",1,0.0254)*4000),"Pass",IF($B$2="mil",1,0.0254)*4000-$P31)</f>
        <v>#REF!</v>
      </c>
      <c r="AP31" s="447" t="e">
        <f t="shared" ref="AP31:AP39" si="50">IF(AND($S31&gt;=IF($B$2="mil",1,0.0254)*500, $S31&lt;=IF($B$2="mil",1,0.0254)*4500),"Pass",IF($B$2="mil",1,0.0254)*4500-$S31)</f>
        <v>#REF!</v>
      </c>
      <c r="AQ31" s="447" t="e">
        <f t="shared" ref="AQ31:AQ39" si="51">IF(AND($Q31&gt;=IF($B$2="mil",1,0.0254)*500, $Q31&lt;=IF($B$2="mil",1,0.0254)*5500),"Pass",IF($B$2="mil",1,0.0254)*5500-$Q31)</f>
        <v>#REF!</v>
      </c>
      <c r="AR31" s="447" t="e">
        <f t="shared" ref="AR31:AR39" si="52">IF(AND($T31&gt;=IF($B$2="mil",1,0.0254)*500, $T31&lt;=IF($B$2="mil",1,0.0254)*6000),"Pass",IF($B$2="mil",1,0.0254)*6000-$T31)</f>
        <v>#REF!</v>
      </c>
      <c r="AS31" s="18"/>
      <c r="AT31" s="2" t="e">
        <f t="shared" ref="AT31:AT39" ca="1" si="53">IF(AND(AG31="Pass",AP31="Pass",AI31="Pass",AH31="Pass",AO31="Pass",Y31="Pass",Z31="Pass",AN31="Pass",AM31="Pass",AL31="Pass",AK31="Pass",AJ31="Pass",AE31="Pass",AF31="Pass",AQ31="Pass",AR31="Pass"),"Pass","Fail")</f>
        <v>#REF!</v>
      </c>
      <c r="AU31" s="2" t="e">
        <f ca="1">IF(AND(AT31="Pass",AT32="Pass",AT33="Pass",AT34="Pass",AT35="Pass",AT36="Pass",AT37="Pass",AT38="Pass",AT39="Pass"),"Pass","Fail")</f>
        <v>#REF!</v>
      </c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</row>
    <row r="32" spans="1:62" x14ac:dyDescent="0.2">
      <c r="A32" s="77" t="s">
        <v>187</v>
      </c>
      <c r="B32" s="573" t="s">
        <v>518</v>
      </c>
      <c r="C32" s="584">
        <v>514.9212598425197</v>
      </c>
      <c r="D32" s="16"/>
      <c r="E32" s="17">
        <v>29.7</v>
      </c>
      <c r="F32" s="17">
        <v>0</v>
      </c>
      <c r="G32" s="393">
        <v>1710.7577952755908</v>
      </c>
      <c r="H32" s="271">
        <v>127.19</v>
      </c>
      <c r="I32" s="17">
        <v>0</v>
      </c>
      <c r="J32" s="271">
        <v>111.43</v>
      </c>
      <c r="K32" s="17">
        <v>40</v>
      </c>
      <c r="L32" s="271">
        <v>66.900000000000006</v>
      </c>
      <c r="M32" s="271">
        <v>1041.8499999999999</v>
      </c>
      <c r="N32" s="271">
        <v>69.64</v>
      </c>
      <c r="O32" s="58"/>
      <c r="P32" s="441">
        <f t="shared" ref="P32:P39" si="54" xml:space="preserve"> E32+F32+G32+H32</f>
        <v>1867.6477952755909</v>
      </c>
      <c r="Q32" s="441">
        <f t="shared" ref="Q32:Q39" si="55">SUM(E32:G32,I32:N32)</f>
        <v>3070.277795275591</v>
      </c>
      <c r="R32" s="533"/>
      <c r="S32" s="441" t="e">
        <f t="shared" ref="S32:S39" si="56">P32+IF($B$2="mil",1,0.0254)*C32</f>
        <v>#REF!</v>
      </c>
      <c r="T32" s="441" t="e">
        <f t="shared" si="42"/>
        <v>#REF!</v>
      </c>
      <c r="U32" s="533"/>
      <c r="V32" s="441" t="e">
        <f ca="1">MAX(V$29:V$30)+IF($B$2="mil",1,0.0254)*DDR2Specs!$B$3</f>
        <v>#NAME?</v>
      </c>
      <c r="W32" s="441" t="e">
        <f ca="1">MIN(V$29:V$30)+IF($B$2="mil",1,0.0254)*DDR2Specs!$C$3</f>
        <v>#NAME?</v>
      </c>
      <c r="X32" s="18"/>
      <c r="Y32" s="534" t="e">
        <f t="shared" ref="Y32:Y39" ca="1" si="57">IF($S32&lt;$V32,$V32-$S32,"Pass")</f>
        <v>#REF!</v>
      </c>
      <c r="Z32" s="447" t="e">
        <f t="shared" ref="Z32:Z39" ca="1" si="58">IF($S32&gt;$W32,$S32-$W32,"Pass")</f>
        <v>#REF!</v>
      </c>
      <c r="AA32" s="18"/>
      <c r="AB32" s="441" t="e">
        <f ca="1">MAX(AB$29:AB$30)+IF($B$2="mil",1,0.0254)*DDR2Specs!$E$3</f>
        <v>#NAME?</v>
      </c>
      <c r="AC32" s="441" t="e">
        <f ca="1">MIN(AB$29:AB$30)+IF($B$2="mil",1,0.0254)*DDR2Specs!$F$3</f>
        <v>#NAME?</v>
      </c>
      <c r="AD32" s="18"/>
      <c r="AE32" s="534" t="e">
        <f t="shared" ca="1" si="43"/>
        <v>#REF!</v>
      </c>
      <c r="AF32" s="447" t="e">
        <f t="shared" ca="1" si="44"/>
        <v>#REF!</v>
      </c>
      <c r="AG32" s="447" t="e">
        <f t="shared" si="45"/>
        <v>#REF!</v>
      </c>
      <c r="AH32" s="447" t="e">
        <f t="shared" si="46"/>
        <v>#REF!</v>
      </c>
      <c r="AI32" s="447" t="e">
        <f t="shared" ref="AI32:AI39" si="59">IF($H32&lt;=IF($B$2="mil",1,0.0254)*250,"Pass",IF($B$2="mil",1,0.0254)*250-$H32)</f>
        <v>#REF!</v>
      </c>
      <c r="AJ32" s="447" t="e">
        <f t="shared" ca="1" si="47"/>
        <v>#NAME?</v>
      </c>
      <c r="AK32" s="447" t="e">
        <f t="shared" ref="AK32:AK39" si="60">IF($J32&lt;=IF($B$2="mil",1,0.0254)*125,"Pass",IF($B$2="mil",1,0.0254)*125-$J32)</f>
        <v>#REF!</v>
      </c>
      <c r="AL32" s="447" t="e">
        <f t="shared" ref="AL32:AL39" si="61">IF($L32&lt;=IF($B$2="mil",1,0.0254)*125,"Pass",IF($B$2="mil",1,0.0254)*125-$L32)</f>
        <v>#REF!</v>
      </c>
      <c r="AM32" s="447" t="e">
        <f t="shared" ref="AM32:AM39" ca="1" si="62">CheckLength(IF($B$2="mil",1,0.0254)*1250, IF($B$2="mil",1,0.0254)*125-L32, IF($B$2="mil",1,0.0254)*150-N32, M32,L32,N32)</f>
        <v>#NAME?</v>
      </c>
      <c r="AN32" s="447" t="e">
        <f t="shared" ca="1" si="48"/>
        <v>#NAME?</v>
      </c>
      <c r="AO32" s="447" t="e">
        <f t="shared" si="49"/>
        <v>#REF!</v>
      </c>
      <c r="AP32" s="447" t="e">
        <f t="shared" si="50"/>
        <v>#REF!</v>
      </c>
      <c r="AQ32" s="447" t="e">
        <f t="shared" si="51"/>
        <v>#REF!</v>
      </c>
      <c r="AR32" s="447" t="e">
        <f t="shared" si="52"/>
        <v>#REF!</v>
      </c>
      <c r="AS32" s="18"/>
      <c r="AT32" s="2" t="e">
        <f t="shared" ca="1" si="53"/>
        <v>#REF!</v>
      </c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</row>
    <row r="33" spans="1:62" x14ac:dyDescent="0.2">
      <c r="A33" s="77" t="s">
        <v>188</v>
      </c>
      <c r="B33" s="573" t="s">
        <v>519</v>
      </c>
      <c r="C33" s="584">
        <v>468.18897637795277</v>
      </c>
      <c r="D33" s="16"/>
      <c r="E33" s="17">
        <v>29.7</v>
      </c>
      <c r="F33" s="17">
        <v>0</v>
      </c>
      <c r="G33" s="393">
        <v>1950.014173228346</v>
      </c>
      <c r="H33" s="271">
        <v>71.91</v>
      </c>
      <c r="I33" s="17">
        <v>0</v>
      </c>
      <c r="J33" s="271">
        <v>56.64</v>
      </c>
      <c r="K33" s="17">
        <v>40</v>
      </c>
      <c r="L33" s="271">
        <v>76.23</v>
      </c>
      <c r="M33" s="271">
        <v>1058.99</v>
      </c>
      <c r="N33" s="271">
        <v>37</v>
      </c>
      <c r="O33" s="58"/>
      <c r="P33" s="441">
        <f t="shared" si="54"/>
        <v>2051.6241732283461</v>
      </c>
      <c r="Q33" s="441">
        <f t="shared" si="55"/>
        <v>3248.5741732283459</v>
      </c>
      <c r="R33" s="533"/>
      <c r="S33" s="441" t="e">
        <f t="shared" si="56"/>
        <v>#REF!</v>
      </c>
      <c r="T33" s="441" t="e">
        <f t="shared" si="42"/>
        <v>#REF!</v>
      </c>
      <c r="U33" s="533"/>
      <c r="V33" s="441" t="e">
        <f ca="1">MAX(V$29:V$30)+IF($B$2="mil",1,0.0254)*DDR2Specs!$B$3</f>
        <v>#NAME?</v>
      </c>
      <c r="W33" s="441" t="e">
        <f ca="1">MIN(V$29:V$30)+IF($B$2="mil",1,0.0254)*DDR2Specs!$C$3</f>
        <v>#NAME?</v>
      </c>
      <c r="X33" s="18"/>
      <c r="Y33" s="534" t="e">
        <f t="shared" ca="1" si="57"/>
        <v>#REF!</v>
      </c>
      <c r="Z33" s="447" t="e">
        <f t="shared" ca="1" si="58"/>
        <v>#REF!</v>
      </c>
      <c r="AA33" s="18"/>
      <c r="AB33" s="441" t="e">
        <f ca="1">MAX(AB$29:AB$30)+IF($B$2="mil",1,0.0254)*DDR2Specs!$E$3</f>
        <v>#NAME?</v>
      </c>
      <c r="AC33" s="441" t="e">
        <f ca="1">MIN(AB$29:AB$30)+IF($B$2="mil",1,0.0254)*DDR2Specs!$F$3</f>
        <v>#NAME?</v>
      </c>
      <c r="AD33" s="18"/>
      <c r="AE33" s="534" t="e">
        <f t="shared" ca="1" si="43"/>
        <v>#REF!</v>
      </c>
      <c r="AF33" s="447" t="e">
        <f t="shared" ca="1" si="44"/>
        <v>#REF!</v>
      </c>
      <c r="AG33" s="447" t="e">
        <f t="shared" si="45"/>
        <v>#REF!</v>
      </c>
      <c r="AH33" s="447" t="e">
        <f t="shared" si="46"/>
        <v>#REF!</v>
      </c>
      <c r="AI33" s="447" t="e">
        <f t="shared" si="59"/>
        <v>#REF!</v>
      </c>
      <c r="AJ33" s="447" t="e">
        <f t="shared" ca="1" si="47"/>
        <v>#NAME?</v>
      </c>
      <c r="AK33" s="447" t="e">
        <f t="shared" si="60"/>
        <v>#REF!</v>
      </c>
      <c r="AL33" s="447" t="e">
        <f t="shared" si="61"/>
        <v>#REF!</v>
      </c>
      <c r="AM33" s="447" t="e">
        <f t="shared" ca="1" si="62"/>
        <v>#NAME?</v>
      </c>
      <c r="AN33" s="447" t="e">
        <f t="shared" ca="1" si="48"/>
        <v>#NAME?</v>
      </c>
      <c r="AO33" s="447" t="e">
        <f t="shared" si="49"/>
        <v>#REF!</v>
      </c>
      <c r="AP33" s="447" t="e">
        <f t="shared" si="50"/>
        <v>#REF!</v>
      </c>
      <c r="AQ33" s="447" t="e">
        <f t="shared" si="51"/>
        <v>#REF!</v>
      </c>
      <c r="AR33" s="447" t="e">
        <f t="shared" si="52"/>
        <v>#REF!</v>
      </c>
      <c r="AS33" s="18"/>
      <c r="AT33" s="2" t="e">
        <f t="shared" ca="1" si="53"/>
        <v>#REF!</v>
      </c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</row>
    <row r="34" spans="1:62" x14ac:dyDescent="0.2">
      <c r="A34" s="77" t="s">
        <v>189</v>
      </c>
      <c r="B34" s="573" t="s">
        <v>520</v>
      </c>
      <c r="C34" s="584">
        <v>494.40944881889766</v>
      </c>
      <c r="D34" s="16"/>
      <c r="E34" s="17">
        <v>29.7</v>
      </c>
      <c r="F34" s="17">
        <v>0</v>
      </c>
      <c r="G34" s="393">
        <v>1918.0805511811018</v>
      </c>
      <c r="H34" s="271">
        <v>72.819999999999993</v>
      </c>
      <c r="I34" s="17">
        <v>0</v>
      </c>
      <c r="J34" s="271">
        <v>58.71</v>
      </c>
      <c r="K34" s="17">
        <v>40</v>
      </c>
      <c r="L34" s="271">
        <v>100.8</v>
      </c>
      <c r="M34" s="271">
        <v>1041.04</v>
      </c>
      <c r="N34" s="271">
        <v>31.49</v>
      </c>
      <c r="O34" s="58"/>
      <c r="P34" s="441">
        <f t="shared" si="54"/>
        <v>2020.6005511811018</v>
      </c>
      <c r="Q34" s="441">
        <f t="shared" si="55"/>
        <v>3219.8205511811016</v>
      </c>
      <c r="R34" s="533"/>
      <c r="S34" s="441" t="e">
        <f t="shared" si="56"/>
        <v>#REF!</v>
      </c>
      <c r="T34" s="441" t="e">
        <f t="shared" si="42"/>
        <v>#REF!</v>
      </c>
      <c r="U34" s="533"/>
      <c r="V34" s="441" t="e">
        <f ca="1">MAX(V$29:V$30)+IF($B$2="mil",1,0.0254)*DDR2Specs!$B$3</f>
        <v>#NAME?</v>
      </c>
      <c r="W34" s="441" t="e">
        <f ca="1">MIN(V$29:V$30)+IF($B$2="mil",1,0.0254)*DDR2Specs!$C$3</f>
        <v>#NAME?</v>
      </c>
      <c r="X34" s="18"/>
      <c r="Y34" s="534" t="e">
        <f t="shared" ca="1" si="57"/>
        <v>#REF!</v>
      </c>
      <c r="Z34" s="447" t="e">
        <f t="shared" ca="1" si="58"/>
        <v>#REF!</v>
      </c>
      <c r="AA34" s="18"/>
      <c r="AB34" s="441" t="e">
        <f ca="1">MAX(AB$29:AB$30)+IF($B$2="mil",1,0.0254)*DDR2Specs!$E$3</f>
        <v>#NAME?</v>
      </c>
      <c r="AC34" s="441" t="e">
        <f ca="1">MIN(AB$29:AB$30)+IF($B$2="mil",1,0.0254)*DDR2Specs!$F$3</f>
        <v>#NAME?</v>
      </c>
      <c r="AD34" s="18"/>
      <c r="AE34" s="534" t="e">
        <f t="shared" ca="1" si="43"/>
        <v>#REF!</v>
      </c>
      <c r="AF34" s="447" t="e">
        <f t="shared" ca="1" si="44"/>
        <v>#REF!</v>
      </c>
      <c r="AG34" s="447" t="e">
        <f t="shared" si="45"/>
        <v>#REF!</v>
      </c>
      <c r="AH34" s="447" t="e">
        <f t="shared" si="46"/>
        <v>#REF!</v>
      </c>
      <c r="AI34" s="447" t="e">
        <f t="shared" si="59"/>
        <v>#REF!</v>
      </c>
      <c r="AJ34" s="447" t="e">
        <f t="shared" ca="1" si="47"/>
        <v>#NAME?</v>
      </c>
      <c r="AK34" s="447" t="e">
        <f t="shared" si="60"/>
        <v>#REF!</v>
      </c>
      <c r="AL34" s="447" t="e">
        <f t="shared" si="61"/>
        <v>#REF!</v>
      </c>
      <c r="AM34" s="447" t="e">
        <f t="shared" ca="1" si="62"/>
        <v>#NAME?</v>
      </c>
      <c r="AN34" s="447" t="e">
        <f t="shared" ca="1" si="48"/>
        <v>#NAME?</v>
      </c>
      <c r="AO34" s="447" t="e">
        <f t="shared" si="49"/>
        <v>#REF!</v>
      </c>
      <c r="AP34" s="447" t="e">
        <f t="shared" si="50"/>
        <v>#REF!</v>
      </c>
      <c r="AQ34" s="447" t="e">
        <f t="shared" si="51"/>
        <v>#REF!</v>
      </c>
      <c r="AR34" s="447" t="e">
        <f t="shared" si="52"/>
        <v>#REF!</v>
      </c>
      <c r="AS34" s="18"/>
      <c r="AT34" s="2" t="e">
        <f t="shared" ca="1" si="53"/>
        <v>#REF!</v>
      </c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</row>
    <row r="35" spans="1:62" x14ac:dyDescent="0.2">
      <c r="A35" s="77" t="s">
        <v>190</v>
      </c>
      <c r="B35" s="573" t="s">
        <v>521</v>
      </c>
      <c r="C35" s="584">
        <v>570.90551181102364</v>
      </c>
      <c r="D35" s="16"/>
      <c r="E35" s="17">
        <v>29.7</v>
      </c>
      <c r="F35" s="17">
        <v>0</v>
      </c>
      <c r="G35" s="393">
        <v>1899.1331496062987</v>
      </c>
      <c r="H35" s="271">
        <v>85.98</v>
      </c>
      <c r="I35" s="17">
        <v>0</v>
      </c>
      <c r="J35" s="271">
        <v>59.57</v>
      </c>
      <c r="K35" s="17">
        <v>40</v>
      </c>
      <c r="L35" s="271">
        <v>100.86</v>
      </c>
      <c r="M35" s="271">
        <v>1046.93</v>
      </c>
      <c r="N35" s="271">
        <v>36</v>
      </c>
      <c r="O35" s="58"/>
      <c r="P35" s="441">
        <f t="shared" si="54"/>
        <v>2014.8131496062988</v>
      </c>
      <c r="Q35" s="441">
        <f t="shared" si="55"/>
        <v>3212.1931496062989</v>
      </c>
      <c r="R35" s="533"/>
      <c r="S35" s="441" t="e">
        <f t="shared" si="56"/>
        <v>#REF!</v>
      </c>
      <c r="T35" s="441" t="e">
        <f t="shared" si="42"/>
        <v>#REF!</v>
      </c>
      <c r="U35" s="533"/>
      <c r="V35" s="441" t="e">
        <f ca="1">MAX(V$29:V$30)+IF($B$2="mil",1,0.0254)*DDR2Specs!$B$3</f>
        <v>#NAME?</v>
      </c>
      <c r="W35" s="441" t="e">
        <f ca="1">MIN(V$29:V$30)+IF($B$2="mil",1,0.0254)*DDR2Specs!$C$3</f>
        <v>#NAME?</v>
      </c>
      <c r="X35" s="18"/>
      <c r="Y35" s="534" t="e">
        <f t="shared" ca="1" si="57"/>
        <v>#REF!</v>
      </c>
      <c r="Z35" s="447" t="e">
        <f t="shared" ca="1" si="58"/>
        <v>#REF!</v>
      </c>
      <c r="AA35" s="18"/>
      <c r="AB35" s="441" t="e">
        <f ca="1">MAX(AB$29:AB$30)+IF($B$2="mil",1,0.0254)*DDR2Specs!$E$3</f>
        <v>#NAME?</v>
      </c>
      <c r="AC35" s="441" t="e">
        <f ca="1">MIN(AB$29:AB$30)+IF($B$2="mil",1,0.0254)*DDR2Specs!$F$3</f>
        <v>#NAME?</v>
      </c>
      <c r="AD35" s="18"/>
      <c r="AE35" s="534" t="e">
        <f t="shared" ca="1" si="43"/>
        <v>#REF!</v>
      </c>
      <c r="AF35" s="447" t="e">
        <f t="shared" ca="1" si="44"/>
        <v>#REF!</v>
      </c>
      <c r="AG35" s="447" t="e">
        <f t="shared" si="45"/>
        <v>#REF!</v>
      </c>
      <c r="AH35" s="447" t="e">
        <f t="shared" si="46"/>
        <v>#REF!</v>
      </c>
      <c r="AI35" s="447" t="e">
        <f t="shared" si="59"/>
        <v>#REF!</v>
      </c>
      <c r="AJ35" s="447" t="e">
        <f t="shared" ca="1" si="47"/>
        <v>#NAME?</v>
      </c>
      <c r="AK35" s="447" t="e">
        <f t="shared" si="60"/>
        <v>#REF!</v>
      </c>
      <c r="AL35" s="447" t="e">
        <f t="shared" si="61"/>
        <v>#REF!</v>
      </c>
      <c r="AM35" s="447" t="e">
        <f t="shared" ca="1" si="62"/>
        <v>#NAME?</v>
      </c>
      <c r="AN35" s="447" t="e">
        <f t="shared" ca="1" si="48"/>
        <v>#NAME?</v>
      </c>
      <c r="AO35" s="447" t="e">
        <f t="shared" si="49"/>
        <v>#REF!</v>
      </c>
      <c r="AP35" s="447" t="e">
        <f t="shared" si="50"/>
        <v>#REF!</v>
      </c>
      <c r="AQ35" s="447" t="e">
        <f t="shared" si="51"/>
        <v>#REF!</v>
      </c>
      <c r="AR35" s="447" t="e">
        <f t="shared" si="52"/>
        <v>#REF!</v>
      </c>
      <c r="AS35" s="18"/>
      <c r="AT35" s="2" t="e">
        <f t="shared" ca="1" si="53"/>
        <v>#REF!</v>
      </c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</row>
    <row r="36" spans="1:62" x14ac:dyDescent="0.2">
      <c r="A36" s="77" t="s">
        <v>191</v>
      </c>
      <c r="B36" s="573" t="s">
        <v>397</v>
      </c>
      <c r="C36" s="584">
        <v>498.14960629921262</v>
      </c>
      <c r="D36" s="16"/>
      <c r="E36" s="17">
        <v>29.7</v>
      </c>
      <c r="F36" s="17">
        <v>0</v>
      </c>
      <c r="G36" s="393">
        <v>1747.1582677165347</v>
      </c>
      <c r="H36" s="271">
        <v>122.01</v>
      </c>
      <c r="I36" s="17">
        <v>0</v>
      </c>
      <c r="J36" s="271">
        <v>108.21</v>
      </c>
      <c r="K36" s="17">
        <v>40</v>
      </c>
      <c r="L36" s="271">
        <v>56.86</v>
      </c>
      <c r="M36" s="271">
        <v>1015.04</v>
      </c>
      <c r="N36" s="271">
        <v>106.79</v>
      </c>
      <c r="O36" s="58"/>
      <c r="P36" s="441">
        <f t="shared" si="54"/>
        <v>1898.8682677165348</v>
      </c>
      <c r="Q36" s="441">
        <f t="shared" si="55"/>
        <v>3103.7582677165346</v>
      </c>
      <c r="R36" s="533"/>
      <c r="S36" s="441" t="e">
        <f t="shared" si="56"/>
        <v>#REF!</v>
      </c>
      <c r="T36" s="441" t="e">
        <f t="shared" si="42"/>
        <v>#REF!</v>
      </c>
      <c r="U36" s="533"/>
      <c r="V36" s="441" t="e">
        <f ca="1">MAX(V$29:V$30)+IF($B$2="mil",1,0.0254)*DDR2Specs!$B$3</f>
        <v>#NAME?</v>
      </c>
      <c r="W36" s="441" t="e">
        <f ca="1">MIN(V$29:V$30)+IF($B$2="mil",1,0.0254)*DDR2Specs!$C$3</f>
        <v>#NAME?</v>
      </c>
      <c r="X36" s="18"/>
      <c r="Y36" s="534" t="e">
        <f t="shared" ca="1" si="57"/>
        <v>#REF!</v>
      </c>
      <c r="Z36" s="447" t="e">
        <f t="shared" ca="1" si="58"/>
        <v>#REF!</v>
      </c>
      <c r="AA36" s="18"/>
      <c r="AB36" s="441" t="e">
        <f ca="1">MAX(AB$29:AB$30)+IF($B$2="mil",1,0.0254)*DDR2Specs!$E$3</f>
        <v>#NAME?</v>
      </c>
      <c r="AC36" s="441" t="e">
        <f ca="1">MIN(AB$29:AB$30)+IF($B$2="mil",1,0.0254)*DDR2Specs!$F$3</f>
        <v>#NAME?</v>
      </c>
      <c r="AD36" s="18"/>
      <c r="AE36" s="534" t="e">
        <f t="shared" ca="1" si="43"/>
        <v>#REF!</v>
      </c>
      <c r="AF36" s="447" t="e">
        <f t="shared" ca="1" si="44"/>
        <v>#REF!</v>
      </c>
      <c r="AG36" s="447" t="e">
        <f t="shared" si="45"/>
        <v>#REF!</v>
      </c>
      <c r="AH36" s="447" t="e">
        <f t="shared" si="46"/>
        <v>#REF!</v>
      </c>
      <c r="AI36" s="447" t="e">
        <f t="shared" si="59"/>
        <v>#REF!</v>
      </c>
      <c r="AJ36" s="447" t="e">
        <f t="shared" ca="1" si="47"/>
        <v>#NAME?</v>
      </c>
      <c r="AK36" s="447" t="e">
        <f t="shared" si="60"/>
        <v>#REF!</v>
      </c>
      <c r="AL36" s="447" t="e">
        <f t="shared" si="61"/>
        <v>#REF!</v>
      </c>
      <c r="AM36" s="447" t="e">
        <f t="shared" ca="1" si="62"/>
        <v>#NAME?</v>
      </c>
      <c r="AN36" s="447" t="e">
        <f t="shared" ca="1" si="48"/>
        <v>#NAME?</v>
      </c>
      <c r="AO36" s="447" t="e">
        <f t="shared" si="49"/>
        <v>#REF!</v>
      </c>
      <c r="AP36" s="447" t="e">
        <f t="shared" si="50"/>
        <v>#REF!</v>
      </c>
      <c r="AQ36" s="447" t="e">
        <f t="shared" si="51"/>
        <v>#REF!</v>
      </c>
      <c r="AR36" s="447" t="e">
        <f t="shared" si="52"/>
        <v>#REF!</v>
      </c>
      <c r="AS36" s="18"/>
      <c r="AT36" s="2" t="e">
        <f t="shared" ca="1" si="53"/>
        <v>#REF!</v>
      </c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</row>
    <row r="37" spans="1:62" x14ac:dyDescent="0.2">
      <c r="A37" s="77" t="s">
        <v>192</v>
      </c>
      <c r="B37" s="573" t="s">
        <v>395</v>
      </c>
      <c r="C37" s="584">
        <v>466.29921259842519</v>
      </c>
      <c r="D37" s="16"/>
      <c r="E37" s="17">
        <v>29.7</v>
      </c>
      <c r="F37" s="17">
        <v>0</v>
      </c>
      <c r="G37" s="393">
        <v>1850.3782677165348</v>
      </c>
      <c r="H37" s="271">
        <v>73.790000000000006</v>
      </c>
      <c r="I37" s="17">
        <v>0</v>
      </c>
      <c r="J37" s="271">
        <v>60.78</v>
      </c>
      <c r="K37" s="17">
        <v>40</v>
      </c>
      <c r="L37" s="271">
        <v>90.78</v>
      </c>
      <c r="M37" s="271">
        <v>1010.31</v>
      </c>
      <c r="N37" s="271">
        <v>71.53</v>
      </c>
      <c r="O37" s="58"/>
      <c r="P37" s="441">
        <f t="shared" si="54"/>
        <v>1953.8682677165348</v>
      </c>
      <c r="Q37" s="441">
        <f t="shared" si="55"/>
        <v>3153.4782677165349</v>
      </c>
      <c r="R37" s="533"/>
      <c r="S37" s="441" t="e">
        <f t="shared" si="56"/>
        <v>#REF!</v>
      </c>
      <c r="T37" s="441" t="e">
        <f t="shared" si="42"/>
        <v>#REF!</v>
      </c>
      <c r="U37" s="533"/>
      <c r="V37" s="441" t="e">
        <f ca="1">MAX(V$29:V$30)+IF($B$2="mil",1,0.0254)*DDR2Specs!$B$3</f>
        <v>#NAME?</v>
      </c>
      <c r="W37" s="441" t="e">
        <f ca="1">MIN(V$29:V$30)+IF($B$2="mil",1,0.0254)*DDR2Specs!$C$3</f>
        <v>#NAME?</v>
      </c>
      <c r="X37" s="18"/>
      <c r="Y37" s="534" t="e">
        <f t="shared" ca="1" si="57"/>
        <v>#REF!</v>
      </c>
      <c r="Z37" s="447" t="e">
        <f t="shared" ca="1" si="58"/>
        <v>#REF!</v>
      </c>
      <c r="AA37" s="18"/>
      <c r="AB37" s="441" t="e">
        <f ca="1">MAX(AB$29:AB$30)+IF($B$2="mil",1,0.0254)*DDR2Specs!$E$3</f>
        <v>#NAME?</v>
      </c>
      <c r="AC37" s="441" t="e">
        <f ca="1">MIN(AB$29:AB$30)+IF($B$2="mil",1,0.0254)*DDR2Specs!$F$3</f>
        <v>#NAME?</v>
      </c>
      <c r="AD37" s="18"/>
      <c r="AE37" s="534" t="e">
        <f t="shared" ca="1" si="43"/>
        <v>#REF!</v>
      </c>
      <c r="AF37" s="447" t="e">
        <f t="shared" ca="1" si="44"/>
        <v>#REF!</v>
      </c>
      <c r="AG37" s="447" t="e">
        <f t="shared" si="45"/>
        <v>#REF!</v>
      </c>
      <c r="AH37" s="447" t="e">
        <f t="shared" si="46"/>
        <v>#REF!</v>
      </c>
      <c r="AI37" s="447" t="e">
        <f t="shared" si="59"/>
        <v>#REF!</v>
      </c>
      <c r="AJ37" s="447" t="e">
        <f t="shared" ca="1" si="47"/>
        <v>#NAME?</v>
      </c>
      <c r="AK37" s="447" t="e">
        <f t="shared" si="60"/>
        <v>#REF!</v>
      </c>
      <c r="AL37" s="447" t="e">
        <f t="shared" si="61"/>
        <v>#REF!</v>
      </c>
      <c r="AM37" s="447" t="e">
        <f t="shared" ca="1" si="62"/>
        <v>#NAME?</v>
      </c>
      <c r="AN37" s="447" t="e">
        <f t="shared" ca="1" si="48"/>
        <v>#NAME?</v>
      </c>
      <c r="AO37" s="447" t="e">
        <f t="shared" si="49"/>
        <v>#REF!</v>
      </c>
      <c r="AP37" s="447" t="e">
        <f t="shared" si="50"/>
        <v>#REF!</v>
      </c>
      <c r="AQ37" s="447" t="e">
        <f t="shared" si="51"/>
        <v>#REF!</v>
      </c>
      <c r="AR37" s="447" t="e">
        <f t="shared" si="52"/>
        <v>#REF!</v>
      </c>
      <c r="AS37" s="18"/>
      <c r="AT37" s="2" t="e">
        <f t="shared" ca="1" si="53"/>
        <v>#REF!</v>
      </c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</row>
    <row r="38" spans="1:62" x14ac:dyDescent="0.2">
      <c r="A38" s="77" t="s">
        <v>193</v>
      </c>
      <c r="B38" s="573" t="s">
        <v>402</v>
      </c>
      <c r="C38" s="584">
        <v>475.51181102362204</v>
      </c>
      <c r="D38" s="16"/>
      <c r="E38" s="17">
        <v>29.7</v>
      </c>
      <c r="F38" s="17">
        <v>0</v>
      </c>
      <c r="G38" s="393">
        <v>1872.2985039370078</v>
      </c>
      <c r="H38" s="271">
        <v>119.98</v>
      </c>
      <c r="I38" s="17">
        <v>0</v>
      </c>
      <c r="J38" s="271">
        <v>97.2</v>
      </c>
      <c r="K38" s="17">
        <v>40</v>
      </c>
      <c r="L38" s="271">
        <v>97</v>
      </c>
      <c r="M38" s="271">
        <v>1012.41</v>
      </c>
      <c r="N38" s="271">
        <v>76.06</v>
      </c>
      <c r="O38" s="58"/>
      <c r="P38" s="441">
        <f t="shared" si="54"/>
        <v>2021.9785039370079</v>
      </c>
      <c r="Q38" s="441">
        <f t="shared" si="55"/>
        <v>3224.6685039370077</v>
      </c>
      <c r="R38" s="533"/>
      <c r="S38" s="441" t="e">
        <f t="shared" si="56"/>
        <v>#REF!</v>
      </c>
      <c r="T38" s="441" t="e">
        <f t="shared" si="42"/>
        <v>#REF!</v>
      </c>
      <c r="U38" s="533"/>
      <c r="V38" s="441" t="e">
        <f ca="1">MAX(V$29:V$30)+IF($B$2="mil",1,0.0254)*DDR2Specs!$B$3</f>
        <v>#NAME?</v>
      </c>
      <c r="W38" s="441" t="e">
        <f ca="1">MIN(V$29:V$30)+IF($B$2="mil",1,0.0254)*DDR2Specs!$C$3</f>
        <v>#NAME?</v>
      </c>
      <c r="X38" s="18"/>
      <c r="Y38" s="534" t="e">
        <f t="shared" ca="1" si="57"/>
        <v>#REF!</v>
      </c>
      <c r="Z38" s="447" t="e">
        <f t="shared" ca="1" si="58"/>
        <v>#REF!</v>
      </c>
      <c r="AA38" s="18"/>
      <c r="AB38" s="441" t="e">
        <f ca="1">MAX(AB$29:AB$30)+IF($B$2="mil",1,0.0254)*DDR2Specs!$E$3</f>
        <v>#NAME?</v>
      </c>
      <c r="AC38" s="441" t="e">
        <f ca="1">MIN(AB$29:AB$30)+IF($B$2="mil",1,0.0254)*DDR2Specs!$F$3</f>
        <v>#NAME?</v>
      </c>
      <c r="AD38" s="18"/>
      <c r="AE38" s="534" t="e">
        <f t="shared" ca="1" si="43"/>
        <v>#REF!</v>
      </c>
      <c r="AF38" s="447" t="e">
        <f t="shared" ca="1" si="44"/>
        <v>#REF!</v>
      </c>
      <c r="AG38" s="447" t="e">
        <f t="shared" si="45"/>
        <v>#REF!</v>
      </c>
      <c r="AH38" s="447" t="e">
        <f t="shared" si="46"/>
        <v>#REF!</v>
      </c>
      <c r="AI38" s="447" t="e">
        <f t="shared" si="59"/>
        <v>#REF!</v>
      </c>
      <c r="AJ38" s="447" t="e">
        <f t="shared" ca="1" si="47"/>
        <v>#NAME?</v>
      </c>
      <c r="AK38" s="447" t="e">
        <f t="shared" si="60"/>
        <v>#REF!</v>
      </c>
      <c r="AL38" s="447" t="e">
        <f t="shared" si="61"/>
        <v>#REF!</v>
      </c>
      <c r="AM38" s="447" t="e">
        <f t="shared" ca="1" si="62"/>
        <v>#NAME?</v>
      </c>
      <c r="AN38" s="447" t="e">
        <f t="shared" ca="1" si="48"/>
        <v>#NAME?</v>
      </c>
      <c r="AO38" s="447" t="e">
        <f t="shared" si="49"/>
        <v>#REF!</v>
      </c>
      <c r="AP38" s="447" t="e">
        <f t="shared" si="50"/>
        <v>#REF!</v>
      </c>
      <c r="AQ38" s="447" t="e">
        <f t="shared" si="51"/>
        <v>#REF!</v>
      </c>
      <c r="AR38" s="447" t="e">
        <f t="shared" si="52"/>
        <v>#REF!</v>
      </c>
      <c r="AS38" s="18"/>
      <c r="AT38" s="2" t="e">
        <f t="shared" ca="1" si="53"/>
        <v>#REF!</v>
      </c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</row>
    <row r="39" spans="1:62" x14ac:dyDescent="0.2">
      <c r="A39" s="77" t="s">
        <v>194</v>
      </c>
      <c r="B39" s="587" t="s">
        <v>555</v>
      </c>
      <c r="C39" s="584">
        <v>464.48818897637796</v>
      </c>
      <c r="D39" s="16"/>
      <c r="E39" s="17">
        <v>29.7</v>
      </c>
      <c r="F39" s="17">
        <v>0</v>
      </c>
      <c r="G39" s="393">
        <v>1888.97</v>
      </c>
      <c r="H39" s="271">
        <v>77.84</v>
      </c>
      <c r="I39" s="17">
        <v>0</v>
      </c>
      <c r="J39" s="271">
        <v>56.64</v>
      </c>
      <c r="K39" s="17">
        <v>40</v>
      </c>
      <c r="L39" s="271">
        <v>94.93</v>
      </c>
      <c r="M39" s="271">
        <v>1052.75</v>
      </c>
      <c r="N39" s="271">
        <v>31.49</v>
      </c>
      <c r="O39" s="58"/>
      <c r="P39" s="441">
        <f t="shared" si="54"/>
        <v>1996.51</v>
      </c>
      <c r="Q39" s="441">
        <f t="shared" si="55"/>
        <v>3194.48</v>
      </c>
      <c r="R39" s="533"/>
      <c r="S39" s="441" t="e">
        <f t="shared" si="56"/>
        <v>#REF!</v>
      </c>
      <c r="T39" s="441" t="e">
        <f t="shared" si="42"/>
        <v>#REF!</v>
      </c>
      <c r="U39" s="533"/>
      <c r="V39" s="441" t="e">
        <f ca="1">MAX(V$29:V$30)+IF($B$2="mil",1,0.0254)*DDR2Specs!$B$3</f>
        <v>#NAME?</v>
      </c>
      <c r="W39" s="441" t="e">
        <f ca="1">MIN(V$29:V$30)+IF($B$2="mil",1,0.0254)*DDR2Specs!$C$3</f>
        <v>#NAME?</v>
      </c>
      <c r="X39" s="18"/>
      <c r="Y39" s="534" t="e">
        <f t="shared" ca="1" si="57"/>
        <v>#REF!</v>
      </c>
      <c r="Z39" s="447" t="e">
        <f t="shared" ca="1" si="58"/>
        <v>#REF!</v>
      </c>
      <c r="AA39" s="18"/>
      <c r="AB39" s="441" t="e">
        <f ca="1">MAX(AB$29:AB$30)+IF($B$2="mil",1,0.0254)*DDR2Specs!$E$3</f>
        <v>#NAME?</v>
      </c>
      <c r="AC39" s="441" t="e">
        <f ca="1">MIN(AB$29:AB$30)+IF($B$2="mil",1,0.0254)*DDR2Specs!$F$3</f>
        <v>#NAME?</v>
      </c>
      <c r="AD39" s="18"/>
      <c r="AE39" s="534" t="e">
        <f t="shared" ca="1" si="43"/>
        <v>#REF!</v>
      </c>
      <c r="AF39" s="447" t="e">
        <f t="shared" ca="1" si="44"/>
        <v>#REF!</v>
      </c>
      <c r="AG39" s="447" t="e">
        <f t="shared" si="45"/>
        <v>#REF!</v>
      </c>
      <c r="AH39" s="447" t="e">
        <f t="shared" si="46"/>
        <v>#REF!</v>
      </c>
      <c r="AI39" s="447" t="e">
        <f t="shared" si="59"/>
        <v>#REF!</v>
      </c>
      <c r="AJ39" s="447" t="e">
        <f t="shared" ca="1" si="47"/>
        <v>#NAME?</v>
      </c>
      <c r="AK39" s="447" t="e">
        <f t="shared" si="60"/>
        <v>#REF!</v>
      </c>
      <c r="AL39" s="447" t="e">
        <f t="shared" si="61"/>
        <v>#REF!</v>
      </c>
      <c r="AM39" s="447" t="e">
        <f t="shared" ca="1" si="62"/>
        <v>#NAME?</v>
      </c>
      <c r="AN39" s="447" t="e">
        <f t="shared" ca="1" si="48"/>
        <v>#NAME?</v>
      </c>
      <c r="AO39" s="447" t="e">
        <f t="shared" si="49"/>
        <v>#REF!</v>
      </c>
      <c r="AP39" s="447" t="e">
        <f t="shared" si="50"/>
        <v>#REF!</v>
      </c>
      <c r="AQ39" s="447" t="e">
        <f t="shared" si="51"/>
        <v>#REF!</v>
      </c>
      <c r="AR39" s="447" t="e">
        <f t="shared" si="52"/>
        <v>#REF!</v>
      </c>
      <c r="AS39" s="18"/>
      <c r="AT39" s="2" t="e">
        <f t="shared" ca="1" si="53"/>
        <v>#REF!</v>
      </c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</row>
    <row r="40" spans="1:62" x14ac:dyDescent="0.2">
      <c r="A40" s="6" t="s">
        <v>248</v>
      </c>
      <c r="B40" s="588"/>
      <c r="C40" s="585"/>
      <c r="D40" s="51"/>
      <c r="E40" s="68"/>
      <c r="F40" s="68"/>
      <c r="G40" s="394"/>
      <c r="H40" s="265"/>
      <c r="I40" s="265"/>
      <c r="J40" s="265"/>
      <c r="K40" s="265"/>
      <c r="L40" s="265"/>
      <c r="M40" s="265"/>
      <c r="N40" s="265"/>
      <c r="O40" s="8"/>
      <c r="P40" s="68"/>
      <c r="Q40" s="68"/>
      <c r="R40" s="68"/>
      <c r="S40" s="539"/>
      <c r="T40" s="539"/>
      <c r="U40" s="539"/>
      <c r="V40" s="539"/>
      <c r="W40" s="540"/>
      <c r="X40" s="540"/>
      <c r="Y40" s="541"/>
      <c r="Z40" s="15"/>
      <c r="AA40" s="540"/>
      <c r="AB40" s="539"/>
      <c r="AC40" s="540"/>
      <c r="AD40" s="540"/>
      <c r="AE40" s="541"/>
      <c r="AF40" s="15"/>
      <c r="AG40" s="15"/>
      <c r="AH40" s="15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69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</row>
    <row r="41" spans="1:62" x14ac:dyDescent="0.2">
      <c r="A41" s="43" t="str">
        <f>'DDR2 Strobes - 1x16'!$A$16</f>
        <v>SA_DQS3</v>
      </c>
      <c r="B41" s="597" t="str">
        <f>'DDR2 Strobes - 1x16'!$B$16</f>
        <v>AB21</v>
      </c>
      <c r="C41" s="586"/>
      <c r="D41" s="44"/>
      <c r="E41" s="67"/>
      <c r="F41" s="67"/>
      <c r="G41" s="395"/>
      <c r="H41" s="266"/>
      <c r="I41" s="266"/>
      <c r="J41" s="266"/>
      <c r="K41" s="266"/>
      <c r="L41" s="266"/>
      <c r="M41" s="266"/>
      <c r="N41" s="266"/>
      <c r="O41" s="67"/>
      <c r="P41" s="67"/>
      <c r="Q41" s="67"/>
      <c r="R41" s="67"/>
      <c r="S41" s="48"/>
      <c r="T41" s="48"/>
      <c r="U41" s="48"/>
      <c r="V41" s="48" t="e">
        <f ca="1">GetSODIMMStrbLen($A41)</f>
        <v>#NAME?</v>
      </c>
      <c r="W41" s="48"/>
      <c r="X41" s="48"/>
      <c r="Y41" s="48"/>
      <c r="Z41" s="542"/>
      <c r="AA41" s="549" t="e">
        <f>"Strobe Pair to " &amp;#REF!</f>
        <v>#REF!</v>
      </c>
      <c r="AB41" s="48" t="e">
        <f ca="1">GetStrbLen(#REF!, "P")</f>
        <v>#NAME?</v>
      </c>
      <c r="AC41" s="48"/>
      <c r="AD41" s="48"/>
      <c r="AE41" s="48"/>
      <c r="AF41" s="542"/>
      <c r="AG41" s="542"/>
      <c r="AH41" s="542"/>
      <c r="AI41" s="542"/>
      <c r="AJ41" s="542"/>
      <c r="AK41" s="542"/>
      <c r="AL41" s="542"/>
      <c r="AM41" s="542"/>
      <c r="AN41" s="542"/>
      <c r="AO41" s="542"/>
      <c r="AP41" s="542"/>
      <c r="AQ41" s="542"/>
      <c r="AR41" s="542"/>
      <c r="AS41" s="48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</row>
    <row r="42" spans="1:62" x14ac:dyDescent="0.2">
      <c r="A42" s="43" t="str">
        <f>'DDR2 Strobes - 1x16'!$A$17</f>
        <v>SA_DQS3#</v>
      </c>
      <c r="B42" s="542" t="str">
        <f>'DDR2 Strobes - 1x16'!$B$17</f>
        <v>AB20</v>
      </c>
      <c r="C42" s="586"/>
      <c r="D42" s="44"/>
      <c r="E42" s="67"/>
      <c r="F42" s="67"/>
      <c r="G42" s="395"/>
      <c r="H42" s="266"/>
      <c r="I42" s="266"/>
      <c r="J42" s="266"/>
      <c r="K42" s="266"/>
      <c r="L42" s="266"/>
      <c r="M42" s="266"/>
      <c r="N42" s="266"/>
      <c r="O42" s="67"/>
      <c r="P42" s="67"/>
      <c r="Q42" s="536"/>
      <c r="R42" s="536"/>
      <c r="S42" s="537"/>
      <c r="T42" s="537"/>
      <c r="U42" s="48"/>
      <c r="V42" s="48" t="e">
        <f ca="1">GetSODIMMStrbLen($A42)</f>
        <v>#NAME?</v>
      </c>
      <c r="W42" s="48"/>
      <c r="X42" s="48"/>
      <c r="Y42" s="48"/>
      <c r="Z42" s="542"/>
      <c r="AA42" s="550" t="e">
        <f>"Strobe Pair to " &amp;#REF!</f>
        <v>#REF!</v>
      </c>
      <c r="AB42" s="48" t="e">
        <f ca="1">GetStrbLen(#REF!, "N")</f>
        <v>#NAME?</v>
      </c>
      <c r="AC42" s="48"/>
      <c r="AD42" s="48"/>
      <c r="AE42" s="48"/>
      <c r="AF42" s="542"/>
      <c r="AG42" s="542"/>
      <c r="AH42" s="542"/>
      <c r="AI42" s="543"/>
      <c r="AJ42" s="543"/>
      <c r="AK42" s="543"/>
      <c r="AL42" s="543"/>
      <c r="AM42" s="543"/>
      <c r="AN42" s="543"/>
      <c r="AO42" s="543"/>
      <c r="AP42" s="543"/>
      <c r="AQ42" s="543"/>
      <c r="AR42" s="543"/>
      <c r="AS42" s="48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</row>
    <row r="43" spans="1:62" x14ac:dyDescent="0.2">
      <c r="A43" s="77" t="s">
        <v>195</v>
      </c>
      <c r="B43" s="434" t="s">
        <v>522</v>
      </c>
      <c r="C43" s="584">
        <v>764.01574803149606</v>
      </c>
      <c r="D43" s="16"/>
      <c r="E43" s="17">
        <v>29.7</v>
      </c>
      <c r="F43" s="17">
        <v>0</v>
      </c>
      <c r="G43" s="393">
        <v>1722.29</v>
      </c>
      <c r="H43" s="271">
        <v>110.8</v>
      </c>
      <c r="I43" s="17">
        <v>0</v>
      </c>
      <c r="J43" s="271">
        <v>89.74</v>
      </c>
      <c r="K43" s="17">
        <v>40</v>
      </c>
      <c r="L43" s="271">
        <v>74.17</v>
      </c>
      <c r="M43" s="271">
        <v>1052.1300000000001</v>
      </c>
      <c r="N43" s="271">
        <v>76.06</v>
      </c>
      <c r="O43" s="58"/>
      <c r="P43" s="441">
        <f xml:space="preserve"> E43+F43+G43+H43</f>
        <v>1862.79</v>
      </c>
      <c r="Q43" s="441">
        <f>SUM(E43:G43,I43:N43)</f>
        <v>3084.09</v>
      </c>
      <c r="R43" s="533"/>
      <c r="S43" s="441" t="e">
        <f>P43+IF($B$2="mil",1,0.0254)*C43</f>
        <v>#REF!</v>
      </c>
      <c r="T43" s="441" t="e">
        <f t="shared" ref="T43:T51" si="63">Q43+IF($B$2="mil",1,0.0254)*$C43</f>
        <v>#REF!</v>
      </c>
      <c r="U43" s="533"/>
      <c r="V43" s="441" t="e">
        <f ca="1">MAX(V$41:V$42)+IF($B$2="mil",1,0.0254)*DDR2Specs!$B$3</f>
        <v>#NAME?</v>
      </c>
      <c r="W43" s="441" t="e">
        <f ca="1">MIN(V$41:V$42)+IF($B$2="mil",1,0.0254)*DDR2Specs!$C$3</f>
        <v>#NAME?</v>
      </c>
      <c r="X43" s="18"/>
      <c r="Y43" s="534" t="e">
        <f ca="1">IF($S43&lt;$V43,$V43-$S43,"Pass")</f>
        <v>#REF!</v>
      </c>
      <c r="Z43" s="447" t="e">
        <f ca="1">IF($S43&gt;$W43,$S43-$W43,"Pass")</f>
        <v>#REF!</v>
      </c>
      <c r="AA43" s="18"/>
      <c r="AB43" s="441" t="e">
        <f ca="1">MAX(AB$41:AB$42)+IF($B$2="mil",1,0.0254)*DDR2Specs!$E$3</f>
        <v>#NAME?</v>
      </c>
      <c r="AC43" s="441" t="e">
        <f ca="1">MIN(AB$41:AB$42)+IF($B$2="mil",1,0.0254)*DDR2Specs!$F$3</f>
        <v>#NAME?</v>
      </c>
      <c r="AD43" s="18"/>
      <c r="AE43" s="534" t="e">
        <f ca="1">IF($T43&lt;$AB43,$AB43-$T43,"Pass")</f>
        <v>#REF!</v>
      </c>
      <c r="AF43" s="447" t="e">
        <f t="shared" ref="AF43:AF51" ca="1" si="64">IF($T43&gt;$AC43,$T43-$AC43,"Pass")</f>
        <v>#REF!</v>
      </c>
      <c r="AG43" s="447" t="e">
        <f t="shared" ref="AG43:AG51" si="65">IF($E43&lt;=IF($B$2="mil",1,0.0254)*50,"Pass",IF($B$2="mil",1,0.0254)*50-$E43)</f>
        <v>#REF!</v>
      </c>
      <c r="AH43" s="447" t="e">
        <f t="shared" ref="AH43:AH51" si="66">IF($F43&lt;=IF($B$2="mil",1,0.0254)*500,"Pass",IF($B$2="mil",1,0.0254)*500-$F43)</f>
        <v>#REF!</v>
      </c>
      <c r="AI43" s="447" t="e">
        <f>IF($H43&lt;=IF($B$2="mil",1,0.0254)*250,"Pass",IF($B$2="mil",1,0.0254)*250-$H43)</f>
        <v>#REF!</v>
      </c>
      <c r="AJ43" s="447" t="e">
        <f t="shared" ref="AJ43:AJ51" ca="1" si="67">CheckLength(IF($B$2="mil",1,0.0254)*1000, IF($B$2="mil",1,0.0254)*125-J43, 0, I43,J43,0)</f>
        <v>#NAME?</v>
      </c>
      <c r="AK43" s="447" t="e">
        <f>IF($J43&lt;=IF($B$2="mil",1,0.0254)*125,"Pass",IF($B$2="mil",1,0.0254)*125-$J43)</f>
        <v>#REF!</v>
      </c>
      <c r="AL43" s="447" t="e">
        <f>IF($L43&lt;=IF($B$2="mil",1,0.0254)*125,"Pass",IF($B$2="mil",1,0.0254)*125-$L43)</f>
        <v>#REF!</v>
      </c>
      <c r="AM43" s="447" t="e">
        <f ca="1">CheckLength(IF($B$2="mil",1,0.0254)*1250, IF($B$2="mil",1,0.0254)*125-L43, IF($B$2="mil",1,0.0254)*150-N43, M43,L43,N43)</f>
        <v>#NAME?</v>
      </c>
      <c r="AN43" s="447" t="e">
        <f t="shared" ref="AN43:AN51" ca="1" si="68">CheckLength2(IF($B$2="mil",1,0.0254)*1400,M43,N43,0)</f>
        <v>#NAME?</v>
      </c>
      <c r="AO43" s="447" t="e">
        <f t="shared" ref="AO43:AO51" si="69">IF(AND($P43&gt;=IF($B$2="mil",1,0.0254)*500, $P43&lt;=IF($B$2="mil",1,0.0254)*4000),"Pass",IF($B$2="mil",1,0.0254)*4000-$P43)</f>
        <v>#REF!</v>
      </c>
      <c r="AP43" s="447" t="e">
        <f t="shared" ref="AP43:AP51" si="70">IF(AND($S43&gt;=IF($B$2="mil",1,0.0254)*500, $S43&lt;=IF($B$2="mil",1,0.0254)*4500),"Pass",IF($B$2="mil",1,0.0254)*4500-$S43)</f>
        <v>#REF!</v>
      </c>
      <c r="AQ43" s="447" t="e">
        <f t="shared" ref="AQ43:AQ51" si="71">IF(AND($Q43&gt;=IF($B$2="mil",1,0.0254)*500, $Q43&lt;=IF($B$2="mil",1,0.0254)*5500),"Pass",IF($B$2="mil",1,0.0254)*5500-$Q43)</f>
        <v>#REF!</v>
      </c>
      <c r="AR43" s="447" t="e">
        <f t="shared" ref="AR43:AR51" si="72">IF(AND($T43&gt;=IF($B$2="mil",1,0.0254)*500, $T43&lt;=IF($B$2="mil",1,0.0254)*6000),"Pass",IF($B$2="mil",1,0.0254)*6000-$T43)</f>
        <v>#REF!</v>
      </c>
      <c r="AS43" s="18"/>
      <c r="AT43" s="2" t="e">
        <f t="shared" ref="AT43:AT51" ca="1" si="73">IF(AND(AG43="Pass",AP43="Pass",AI43="Pass",AH43="Pass",AO43="Pass",Y43="Pass",Z43="Pass",AN43="Pass",AM43="Pass",AL43="Pass",AK43="Pass",AJ43="Pass",AE43="Pass",AF43="Pass",AQ43="Pass",AR43="Pass"),"Pass","Fail")</f>
        <v>#REF!</v>
      </c>
      <c r="AU43" s="2" t="e">
        <f ca="1">IF(AND(AT43="Pass",AT44="Pass",AT45="Pass",AT46="Pass",AT47="Pass",AT48="Pass",AT49="Pass",AT50="Pass",AT51="Pass"),"Pass","Fail")</f>
        <v>#REF!</v>
      </c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</row>
    <row r="44" spans="1:62" x14ac:dyDescent="0.2">
      <c r="A44" s="77" t="s">
        <v>196</v>
      </c>
      <c r="B44" s="573" t="s">
        <v>523</v>
      </c>
      <c r="C44" s="584">
        <v>725.94488188976379</v>
      </c>
      <c r="D44" s="16"/>
      <c r="E44" s="17">
        <v>29.7</v>
      </c>
      <c r="F44" s="17">
        <v>0</v>
      </c>
      <c r="G44" s="393">
        <v>1830.840393700787</v>
      </c>
      <c r="H44" s="271">
        <v>74.099999999999994</v>
      </c>
      <c r="I44" s="17">
        <v>0</v>
      </c>
      <c r="J44" s="271">
        <v>61.2</v>
      </c>
      <c r="K44" s="17">
        <v>40</v>
      </c>
      <c r="L44" s="271">
        <v>60.6</v>
      </c>
      <c r="M44" s="271">
        <v>1057.54</v>
      </c>
      <c r="N44" s="271">
        <v>76.06</v>
      </c>
      <c r="O44" s="58"/>
      <c r="P44" s="441">
        <f t="shared" ref="P44:P51" si="74" xml:space="preserve"> E44+F44+G44+H44</f>
        <v>1934.6403937007869</v>
      </c>
      <c r="Q44" s="441">
        <f t="shared" ref="Q44:Q51" si="75">SUM(E44:G44,I44:N44)</f>
        <v>3155.9403937007869</v>
      </c>
      <c r="R44" s="533"/>
      <c r="S44" s="441" t="e">
        <f t="shared" ref="S44:S51" si="76">P44+IF($B$2="mil",1,0.0254)*C44</f>
        <v>#REF!</v>
      </c>
      <c r="T44" s="441" t="e">
        <f t="shared" si="63"/>
        <v>#REF!</v>
      </c>
      <c r="U44" s="533"/>
      <c r="V44" s="441" t="e">
        <f ca="1">MAX(V$41:V$42)+IF($B$2="mil",1,0.0254)*DDR2Specs!$B$3</f>
        <v>#NAME?</v>
      </c>
      <c r="W44" s="441" t="e">
        <f ca="1">MIN(V$41:V$42)+IF($B$2="mil",1,0.0254)*DDR2Specs!$C$3</f>
        <v>#NAME?</v>
      </c>
      <c r="X44" s="18"/>
      <c r="Y44" s="534" t="e">
        <f t="shared" ref="Y44:Y51" ca="1" si="77">IF($S44&lt;$V44,$V44-$S44,"Pass")</f>
        <v>#REF!</v>
      </c>
      <c r="Z44" s="447" t="e">
        <f t="shared" ref="Z44:Z51" ca="1" si="78">IF($S44&gt;$W44,$S44-$W44,"Pass")</f>
        <v>#REF!</v>
      </c>
      <c r="AA44" s="18"/>
      <c r="AB44" s="441" t="e">
        <f ca="1">MAX(AB$41:AB$42)+IF($B$2="mil",1,0.0254)*DDR2Specs!$E$3</f>
        <v>#NAME?</v>
      </c>
      <c r="AC44" s="441" t="e">
        <f ca="1">MIN(AB$41:AB$42)+IF($B$2="mil",1,0.0254)*DDR2Specs!$F$3</f>
        <v>#NAME?</v>
      </c>
      <c r="AD44" s="18"/>
      <c r="AE44" s="534" t="e">
        <f t="shared" ref="AE44:AE51" ca="1" si="79">IF($T44&lt;$AB44,$AB44-$T44,"Pass")</f>
        <v>#REF!</v>
      </c>
      <c r="AF44" s="447" t="e">
        <f t="shared" ca="1" si="64"/>
        <v>#REF!</v>
      </c>
      <c r="AG44" s="447" t="e">
        <f t="shared" si="65"/>
        <v>#REF!</v>
      </c>
      <c r="AH44" s="447" t="e">
        <f t="shared" si="66"/>
        <v>#REF!</v>
      </c>
      <c r="AI44" s="447" t="e">
        <f t="shared" ref="AI44:AI51" si="80">IF($H44&lt;=IF($B$2="mil",1,0.0254)*250,"Pass",IF($B$2="mil",1,0.0254)*250-$H44)</f>
        <v>#REF!</v>
      </c>
      <c r="AJ44" s="447" t="e">
        <f t="shared" ca="1" si="67"/>
        <v>#NAME?</v>
      </c>
      <c r="AK44" s="447" t="e">
        <f t="shared" ref="AK44:AK51" si="81">IF($J44&lt;=IF($B$2="mil",1,0.0254)*125,"Pass",IF($B$2="mil",1,0.0254)*125-$J44)</f>
        <v>#REF!</v>
      </c>
      <c r="AL44" s="447" t="e">
        <f t="shared" ref="AL44:AL51" si="82">IF($L44&lt;=IF($B$2="mil",1,0.0254)*125,"Pass",IF($B$2="mil",1,0.0254)*125-$L44)</f>
        <v>#REF!</v>
      </c>
      <c r="AM44" s="447" t="e">
        <f t="shared" ref="AM44:AM51" ca="1" si="83">CheckLength(IF($B$2="mil",1,0.0254)*1250, IF($B$2="mil",1,0.0254)*125-L44, IF($B$2="mil",1,0.0254)*150-N44, M44,L44,N44)</f>
        <v>#NAME?</v>
      </c>
      <c r="AN44" s="447" t="e">
        <f t="shared" ca="1" si="68"/>
        <v>#NAME?</v>
      </c>
      <c r="AO44" s="447" t="e">
        <f t="shared" si="69"/>
        <v>#REF!</v>
      </c>
      <c r="AP44" s="447" t="e">
        <f t="shared" si="70"/>
        <v>#REF!</v>
      </c>
      <c r="AQ44" s="447" t="e">
        <f t="shared" si="71"/>
        <v>#REF!</v>
      </c>
      <c r="AR44" s="447" t="e">
        <f t="shared" si="72"/>
        <v>#REF!</v>
      </c>
      <c r="AS44" s="18"/>
      <c r="AT44" s="2" t="e">
        <f t="shared" ca="1" si="73"/>
        <v>#REF!</v>
      </c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</row>
    <row r="45" spans="1:62" x14ac:dyDescent="0.2">
      <c r="A45" s="77" t="s">
        <v>197</v>
      </c>
      <c r="B45" s="573" t="s">
        <v>396</v>
      </c>
      <c r="C45" s="584">
        <v>793.66141732283461</v>
      </c>
      <c r="D45" s="16"/>
      <c r="E45" s="17">
        <v>29.7</v>
      </c>
      <c r="F45" s="17">
        <v>0</v>
      </c>
      <c r="G45" s="393">
        <v>1716.014488188976</v>
      </c>
      <c r="H45" s="271">
        <v>126.17</v>
      </c>
      <c r="I45" s="17">
        <v>0</v>
      </c>
      <c r="J45" s="271">
        <v>105.68</v>
      </c>
      <c r="K45" s="17">
        <v>40</v>
      </c>
      <c r="L45" s="271">
        <v>76.599999999999994</v>
      </c>
      <c r="M45" s="271">
        <v>1091.19</v>
      </c>
      <c r="N45" s="271">
        <v>34</v>
      </c>
      <c r="O45" s="58"/>
      <c r="P45" s="441">
        <f t="shared" si="74"/>
        <v>1871.8844881889761</v>
      </c>
      <c r="Q45" s="441">
        <f t="shared" si="75"/>
        <v>3093.184488188976</v>
      </c>
      <c r="R45" s="533"/>
      <c r="S45" s="441" t="e">
        <f t="shared" si="76"/>
        <v>#REF!</v>
      </c>
      <c r="T45" s="441" t="e">
        <f t="shared" si="63"/>
        <v>#REF!</v>
      </c>
      <c r="U45" s="533"/>
      <c r="V45" s="441" t="e">
        <f ca="1">MAX(V$41:V$42)+IF($B$2="mil",1,0.0254)*DDR2Specs!$B$3</f>
        <v>#NAME?</v>
      </c>
      <c r="W45" s="441" t="e">
        <f ca="1">MIN(V$41:V$42)+IF($B$2="mil",1,0.0254)*DDR2Specs!$C$3</f>
        <v>#NAME?</v>
      </c>
      <c r="X45" s="18"/>
      <c r="Y45" s="534" t="e">
        <f t="shared" ca="1" si="77"/>
        <v>#REF!</v>
      </c>
      <c r="Z45" s="447" t="e">
        <f t="shared" ca="1" si="78"/>
        <v>#REF!</v>
      </c>
      <c r="AA45" s="18"/>
      <c r="AB45" s="441" t="e">
        <f ca="1">MAX(AB$41:AB$42)+IF($B$2="mil",1,0.0254)*DDR2Specs!$E$3</f>
        <v>#NAME?</v>
      </c>
      <c r="AC45" s="441" t="e">
        <f ca="1">MIN(AB$41:AB$42)+IF($B$2="mil",1,0.0254)*DDR2Specs!$F$3</f>
        <v>#NAME?</v>
      </c>
      <c r="AD45" s="18"/>
      <c r="AE45" s="534" t="e">
        <f t="shared" ca="1" si="79"/>
        <v>#REF!</v>
      </c>
      <c r="AF45" s="447" t="e">
        <f t="shared" ca="1" si="64"/>
        <v>#REF!</v>
      </c>
      <c r="AG45" s="447" t="e">
        <f t="shared" si="65"/>
        <v>#REF!</v>
      </c>
      <c r="AH45" s="447" t="e">
        <f t="shared" si="66"/>
        <v>#REF!</v>
      </c>
      <c r="AI45" s="447" t="e">
        <f t="shared" si="80"/>
        <v>#REF!</v>
      </c>
      <c r="AJ45" s="447" t="e">
        <f t="shared" ca="1" si="67"/>
        <v>#NAME?</v>
      </c>
      <c r="AK45" s="447" t="e">
        <f t="shared" si="81"/>
        <v>#REF!</v>
      </c>
      <c r="AL45" s="447" t="e">
        <f t="shared" si="82"/>
        <v>#REF!</v>
      </c>
      <c r="AM45" s="447" t="e">
        <f t="shared" ca="1" si="83"/>
        <v>#NAME?</v>
      </c>
      <c r="AN45" s="447" t="e">
        <f t="shared" ca="1" si="68"/>
        <v>#NAME?</v>
      </c>
      <c r="AO45" s="447" t="e">
        <f t="shared" si="69"/>
        <v>#REF!</v>
      </c>
      <c r="AP45" s="447" t="e">
        <f t="shared" si="70"/>
        <v>#REF!</v>
      </c>
      <c r="AQ45" s="447" t="e">
        <f t="shared" si="71"/>
        <v>#REF!</v>
      </c>
      <c r="AR45" s="447" t="e">
        <f t="shared" si="72"/>
        <v>#REF!</v>
      </c>
      <c r="AS45" s="18"/>
      <c r="AT45" s="2" t="e">
        <f t="shared" ca="1" si="73"/>
        <v>#REF!</v>
      </c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</row>
    <row r="46" spans="1:62" x14ac:dyDescent="0.2">
      <c r="A46" s="77" t="s">
        <v>198</v>
      </c>
      <c r="B46" s="573" t="s">
        <v>401</v>
      </c>
      <c r="C46" s="584">
        <v>909.6062992125984</v>
      </c>
      <c r="D46" s="16"/>
      <c r="E46" s="17">
        <v>29.7</v>
      </c>
      <c r="F46" s="17">
        <v>0</v>
      </c>
      <c r="G46" s="393">
        <v>1806.8674015748027</v>
      </c>
      <c r="H46" s="271">
        <v>77.010000000000005</v>
      </c>
      <c r="I46" s="17">
        <v>0</v>
      </c>
      <c r="J46" s="271">
        <v>62.86</v>
      </c>
      <c r="K46" s="17">
        <v>40</v>
      </c>
      <c r="L46" s="271">
        <v>91.93</v>
      </c>
      <c r="M46" s="271">
        <v>1072.04</v>
      </c>
      <c r="N46" s="271">
        <v>31.48</v>
      </c>
      <c r="O46" s="58"/>
      <c r="P46" s="441">
        <f t="shared" si="74"/>
        <v>1913.5774015748027</v>
      </c>
      <c r="Q46" s="441">
        <f t="shared" si="75"/>
        <v>3134.8774015748027</v>
      </c>
      <c r="R46" s="533"/>
      <c r="S46" s="441" t="e">
        <f t="shared" si="76"/>
        <v>#REF!</v>
      </c>
      <c r="T46" s="17" t="e">
        <f>Q46+IF($B$2="mil",1,0.0254)*$C46</f>
        <v>#REF!</v>
      </c>
      <c r="U46" s="533"/>
      <c r="V46" s="441" t="e">
        <f ca="1">MAX(V$41:V$42)+IF($B$2="mil",1,0.0254)*DDR2Specs!$B$3</f>
        <v>#NAME?</v>
      </c>
      <c r="W46" s="441" t="e">
        <f ca="1">MIN(V$41:V$42)+IF($B$2="mil",1,0.0254)*DDR2Specs!$C$3</f>
        <v>#NAME?</v>
      </c>
      <c r="X46" s="18"/>
      <c r="Y46" s="534" t="e">
        <f t="shared" ca="1" si="77"/>
        <v>#REF!</v>
      </c>
      <c r="Z46" s="447" t="e">
        <f t="shared" ca="1" si="78"/>
        <v>#REF!</v>
      </c>
      <c r="AA46" s="18"/>
      <c r="AB46" s="441" t="e">
        <f ca="1">MAX(AB$41:AB$42)+IF($B$2="mil",1,0.0254)*DDR2Specs!$E$3</f>
        <v>#NAME?</v>
      </c>
      <c r="AC46" s="441" t="e">
        <f ca="1">MIN(AB$41:AB$42)+IF($B$2="mil",1,0.0254)*DDR2Specs!$F$3</f>
        <v>#NAME?</v>
      </c>
      <c r="AD46" s="18"/>
      <c r="AE46" s="534" t="e">
        <f t="shared" ca="1" si="79"/>
        <v>#REF!</v>
      </c>
      <c r="AF46" s="447" t="e">
        <f t="shared" ca="1" si="64"/>
        <v>#REF!</v>
      </c>
      <c r="AG46" s="447" t="e">
        <f t="shared" si="65"/>
        <v>#REF!</v>
      </c>
      <c r="AH46" s="447" t="e">
        <f t="shared" si="66"/>
        <v>#REF!</v>
      </c>
      <c r="AI46" s="447" t="e">
        <f t="shared" si="80"/>
        <v>#REF!</v>
      </c>
      <c r="AJ46" s="447" t="e">
        <f t="shared" ca="1" si="67"/>
        <v>#NAME?</v>
      </c>
      <c r="AK46" s="447" t="e">
        <f t="shared" si="81"/>
        <v>#REF!</v>
      </c>
      <c r="AL46" s="447" t="e">
        <f t="shared" si="82"/>
        <v>#REF!</v>
      </c>
      <c r="AM46" s="447" t="e">
        <f t="shared" ca="1" si="83"/>
        <v>#NAME?</v>
      </c>
      <c r="AN46" s="447" t="e">
        <f t="shared" ca="1" si="68"/>
        <v>#NAME?</v>
      </c>
      <c r="AO46" s="447" t="e">
        <f t="shared" si="69"/>
        <v>#REF!</v>
      </c>
      <c r="AP46" s="447" t="e">
        <f t="shared" si="70"/>
        <v>#REF!</v>
      </c>
      <c r="AQ46" s="447" t="e">
        <f t="shared" si="71"/>
        <v>#REF!</v>
      </c>
      <c r="AR46" s="447" t="e">
        <f t="shared" si="72"/>
        <v>#REF!</v>
      </c>
      <c r="AS46" s="18"/>
      <c r="AT46" s="2" t="e">
        <f t="shared" ca="1" si="73"/>
        <v>#REF!</v>
      </c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</row>
    <row r="47" spans="1:62" x14ac:dyDescent="0.2">
      <c r="A47" s="77" t="s">
        <v>199</v>
      </c>
      <c r="B47" s="573" t="s">
        <v>398</v>
      </c>
      <c r="C47" s="584">
        <v>749.6062992125984</v>
      </c>
      <c r="D47" s="16"/>
      <c r="E47" s="17">
        <v>29.7</v>
      </c>
      <c r="F47" s="17">
        <v>0</v>
      </c>
      <c r="G47" s="393">
        <v>1797.6152755905509</v>
      </c>
      <c r="H47" s="271">
        <v>78.27</v>
      </c>
      <c r="I47" s="17">
        <v>0</v>
      </c>
      <c r="J47" s="271">
        <v>52.5</v>
      </c>
      <c r="K47" s="17">
        <v>40</v>
      </c>
      <c r="L47" s="271">
        <v>49.57</v>
      </c>
      <c r="M47" s="271">
        <v>1081.42</v>
      </c>
      <c r="N47" s="271">
        <v>76.08</v>
      </c>
      <c r="O47" s="58"/>
      <c r="P47" s="441">
        <f t="shared" si="74"/>
        <v>1905.585275590551</v>
      </c>
      <c r="Q47" s="441">
        <f t="shared" si="75"/>
        <v>3126.8852755905509</v>
      </c>
      <c r="R47" s="533"/>
      <c r="S47" s="441" t="e">
        <f t="shared" si="76"/>
        <v>#REF!</v>
      </c>
      <c r="T47" s="441" t="e">
        <f>Q47+IF($B$2="mil",1,0.0254)*$C47</f>
        <v>#REF!</v>
      </c>
      <c r="U47" s="533"/>
      <c r="V47" s="441" t="e">
        <f ca="1">MAX(V$41:V$42)+IF($B$2="mil",1,0.0254)*DDR2Specs!$B$3</f>
        <v>#NAME?</v>
      </c>
      <c r="W47" s="441" t="e">
        <f ca="1">MIN(V$41:V$42)+IF($B$2="mil",1,0.0254)*DDR2Specs!$C$3</f>
        <v>#NAME?</v>
      </c>
      <c r="X47" s="18"/>
      <c r="Y47" s="534" t="e">
        <f t="shared" ca="1" si="77"/>
        <v>#REF!</v>
      </c>
      <c r="Z47" s="447" t="e">
        <f t="shared" ca="1" si="78"/>
        <v>#REF!</v>
      </c>
      <c r="AA47" s="18"/>
      <c r="AB47" s="441" t="e">
        <f ca="1">MAX(AB$41:AB$42)+IF($B$2="mil",1,0.0254)*DDR2Specs!$E$3</f>
        <v>#NAME?</v>
      </c>
      <c r="AC47" s="441" t="e">
        <f ca="1">MIN(AB$41:AB$42)+IF($B$2="mil",1,0.0254)*DDR2Specs!$F$3</f>
        <v>#NAME?</v>
      </c>
      <c r="AD47" s="18"/>
      <c r="AE47" s="534" t="e">
        <f t="shared" ca="1" si="79"/>
        <v>#REF!</v>
      </c>
      <c r="AF47" s="447" t="e">
        <f t="shared" ca="1" si="64"/>
        <v>#REF!</v>
      </c>
      <c r="AG47" s="447" t="e">
        <f t="shared" si="65"/>
        <v>#REF!</v>
      </c>
      <c r="AH47" s="447" t="e">
        <f t="shared" si="66"/>
        <v>#REF!</v>
      </c>
      <c r="AI47" s="447" t="e">
        <f t="shared" si="80"/>
        <v>#REF!</v>
      </c>
      <c r="AJ47" s="447" t="e">
        <f t="shared" ca="1" si="67"/>
        <v>#NAME?</v>
      </c>
      <c r="AK47" s="447" t="e">
        <f t="shared" si="81"/>
        <v>#REF!</v>
      </c>
      <c r="AL47" s="447" t="e">
        <f t="shared" si="82"/>
        <v>#REF!</v>
      </c>
      <c r="AM47" s="447" t="e">
        <f t="shared" ca="1" si="83"/>
        <v>#NAME?</v>
      </c>
      <c r="AN47" s="447" t="e">
        <f t="shared" ca="1" si="68"/>
        <v>#NAME?</v>
      </c>
      <c r="AO47" s="447" t="e">
        <f t="shared" si="69"/>
        <v>#REF!</v>
      </c>
      <c r="AP47" s="447" t="e">
        <f t="shared" si="70"/>
        <v>#REF!</v>
      </c>
      <c r="AQ47" s="447" t="e">
        <f t="shared" si="71"/>
        <v>#REF!</v>
      </c>
      <c r="AR47" s="447" t="e">
        <f t="shared" si="72"/>
        <v>#REF!</v>
      </c>
      <c r="AS47" s="18"/>
      <c r="AT47" s="2" t="e">
        <f t="shared" ca="1" si="73"/>
        <v>#REF!</v>
      </c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</row>
    <row r="48" spans="1:62" x14ac:dyDescent="0.2">
      <c r="A48" s="77" t="s">
        <v>200</v>
      </c>
      <c r="B48" s="434" t="s">
        <v>524</v>
      </c>
      <c r="C48" s="584">
        <v>808.70078740157487</v>
      </c>
      <c r="D48" s="16"/>
      <c r="E48" s="17">
        <v>29.7</v>
      </c>
      <c r="F48" s="17">
        <v>0</v>
      </c>
      <c r="G48" s="393">
        <v>1740.2874015748027</v>
      </c>
      <c r="H48" s="271">
        <v>73.59</v>
      </c>
      <c r="I48" s="17">
        <v>0</v>
      </c>
      <c r="J48" s="271">
        <v>54.57</v>
      </c>
      <c r="K48" s="17">
        <v>40</v>
      </c>
      <c r="L48" s="271">
        <v>98.95</v>
      </c>
      <c r="M48" s="271">
        <v>1012.26</v>
      </c>
      <c r="N48" s="271">
        <v>89.11</v>
      </c>
      <c r="O48" s="58"/>
      <c r="P48" s="441">
        <f t="shared" si="74"/>
        <v>1843.5774015748027</v>
      </c>
      <c r="Q48" s="441">
        <f t="shared" si="75"/>
        <v>3064.8774015748027</v>
      </c>
      <c r="R48" s="533"/>
      <c r="S48" s="441" t="e">
        <f t="shared" si="76"/>
        <v>#REF!</v>
      </c>
      <c r="T48" s="441" t="e">
        <f t="shared" si="63"/>
        <v>#REF!</v>
      </c>
      <c r="U48" s="533"/>
      <c r="V48" s="441" t="e">
        <f ca="1">MAX(V$41:V$42)+IF($B$2="mil",1,0.0254)*DDR2Specs!$B$3</f>
        <v>#NAME?</v>
      </c>
      <c r="W48" s="441" t="e">
        <f ca="1">MIN(V$41:V$42)+IF($B$2="mil",1,0.0254)*DDR2Specs!$C$3</f>
        <v>#NAME?</v>
      </c>
      <c r="X48" s="18"/>
      <c r="Y48" s="534" t="e">
        <f t="shared" ca="1" si="77"/>
        <v>#REF!</v>
      </c>
      <c r="Z48" s="447" t="e">
        <f t="shared" ca="1" si="78"/>
        <v>#REF!</v>
      </c>
      <c r="AA48" s="18"/>
      <c r="AB48" s="441" t="e">
        <f ca="1">MAX(AB$41:AB$42)+IF($B$2="mil",1,0.0254)*DDR2Specs!$E$3</f>
        <v>#NAME?</v>
      </c>
      <c r="AC48" s="441" t="e">
        <f ca="1">MIN(AB$41:AB$42)+IF($B$2="mil",1,0.0254)*DDR2Specs!$F$3</f>
        <v>#NAME?</v>
      </c>
      <c r="AD48" s="18"/>
      <c r="AE48" s="534" t="e">
        <f t="shared" ca="1" si="79"/>
        <v>#REF!</v>
      </c>
      <c r="AF48" s="447" t="e">
        <f t="shared" ca="1" si="64"/>
        <v>#REF!</v>
      </c>
      <c r="AG48" s="447" t="e">
        <f t="shared" si="65"/>
        <v>#REF!</v>
      </c>
      <c r="AH48" s="447" t="e">
        <f t="shared" si="66"/>
        <v>#REF!</v>
      </c>
      <c r="AI48" s="447" t="e">
        <f t="shared" si="80"/>
        <v>#REF!</v>
      </c>
      <c r="AJ48" s="447" t="e">
        <f t="shared" ca="1" si="67"/>
        <v>#NAME?</v>
      </c>
      <c r="AK48" s="447" t="e">
        <f t="shared" si="81"/>
        <v>#REF!</v>
      </c>
      <c r="AL48" s="447" t="e">
        <f t="shared" si="82"/>
        <v>#REF!</v>
      </c>
      <c r="AM48" s="447" t="e">
        <f t="shared" ca="1" si="83"/>
        <v>#NAME?</v>
      </c>
      <c r="AN48" s="447" t="e">
        <f t="shared" ca="1" si="68"/>
        <v>#NAME?</v>
      </c>
      <c r="AO48" s="447" t="e">
        <f t="shared" si="69"/>
        <v>#REF!</v>
      </c>
      <c r="AP48" s="447" t="e">
        <f t="shared" si="70"/>
        <v>#REF!</v>
      </c>
      <c r="AQ48" s="447" t="e">
        <f t="shared" si="71"/>
        <v>#REF!</v>
      </c>
      <c r="AR48" s="447" t="e">
        <f t="shared" si="72"/>
        <v>#REF!</v>
      </c>
      <c r="AS48" s="18"/>
      <c r="AT48" s="2" t="e">
        <f t="shared" ca="1" si="73"/>
        <v>#REF!</v>
      </c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</row>
    <row r="49" spans="1:62" x14ac:dyDescent="0.2">
      <c r="A49" s="77" t="s">
        <v>201</v>
      </c>
      <c r="B49" s="573" t="s">
        <v>525</v>
      </c>
      <c r="C49" s="584">
        <v>901.61417322834643</v>
      </c>
      <c r="D49" s="16"/>
      <c r="E49" s="17">
        <v>29.7</v>
      </c>
      <c r="F49" s="17">
        <v>0</v>
      </c>
      <c r="G49" s="393">
        <v>1895.0960629921265</v>
      </c>
      <c r="H49" s="271">
        <v>69.489999999999995</v>
      </c>
      <c r="I49" s="17">
        <v>0</v>
      </c>
      <c r="J49" s="271">
        <v>53.74</v>
      </c>
      <c r="K49" s="17">
        <v>40</v>
      </c>
      <c r="L49" s="271">
        <v>101.31</v>
      </c>
      <c r="M49" s="271">
        <v>1019.68</v>
      </c>
      <c r="N49" s="271">
        <v>76.06</v>
      </c>
      <c r="O49" s="58"/>
      <c r="P49" s="441">
        <f t="shared" si="74"/>
        <v>1994.2860629921265</v>
      </c>
      <c r="Q49" s="441">
        <f t="shared" si="75"/>
        <v>3215.5860629921262</v>
      </c>
      <c r="R49" s="533"/>
      <c r="S49" s="441" t="e">
        <f t="shared" si="76"/>
        <v>#REF!</v>
      </c>
      <c r="T49" s="441" t="e">
        <f>Q49+IF($B$2="mil",1,0.0254)*$C49</f>
        <v>#REF!</v>
      </c>
      <c r="U49" s="533"/>
      <c r="V49" s="441" t="e">
        <f ca="1">MAX(V$41:V$42)+IF($B$2="mil",1,0.0254)*DDR2Specs!$B$3</f>
        <v>#NAME?</v>
      </c>
      <c r="W49" s="441" t="e">
        <f ca="1">MIN(V$41:V$42)+IF($B$2="mil",1,0.0254)*DDR2Specs!$C$3</f>
        <v>#NAME?</v>
      </c>
      <c r="X49" s="18"/>
      <c r="Y49" s="534" t="e">
        <f t="shared" ca="1" si="77"/>
        <v>#REF!</v>
      </c>
      <c r="Z49" s="447" t="e">
        <f t="shared" ca="1" si="78"/>
        <v>#REF!</v>
      </c>
      <c r="AA49" s="18"/>
      <c r="AB49" s="441" t="e">
        <f ca="1">MAX(AB$41:AB$42)+IF($B$2="mil",1,0.0254)*DDR2Specs!$E$3</f>
        <v>#NAME?</v>
      </c>
      <c r="AC49" s="441" t="e">
        <f ca="1">MIN(AB$41:AB$42)+IF($B$2="mil",1,0.0254)*DDR2Specs!$F$3</f>
        <v>#NAME?</v>
      </c>
      <c r="AD49" s="18"/>
      <c r="AE49" s="534" t="e">
        <f t="shared" ca="1" si="79"/>
        <v>#REF!</v>
      </c>
      <c r="AF49" s="447" t="e">
        <f t="shared" ca="1" si="64"/>
        <v>#REF!</v>
      </c>
      <c r="AG49" s="447" t="e">
        <f t="shared" si="65"/>
        <v>#REF!</v>
      </c>
      <c r="AH49" s="447" t="e">
        <f t="shared" si="66"/>
        <v>#REF!</v>
      </c>
      <c r="AI49" s="447" t="e">
        <f t="shared" si="80"/>
        <v>#REF!</v>
      </c>
      <c r="AJ49" s="447" t="e">
        <f t="shared" ca="1" si="67"/>
        <v>#NAME?</v>
      </c>
      <c r="AK49" s="447" t="e">
        <f t="shared" si="81"/>
        <v>#REF!</v>
      </c>
      <c r="AL49" s="447" t="e">
        <f t="shared" si="82"/>
        <v>#REF!</v>
      </c>
      <c r="AM49" s="447" t="e">
        <f t="shared" ca="1" si="83"/>
        <v>#NAME?</v>
      </c>
      <c r="AN49" s="447" t="e">
        <f t="shared" ca="1" si="68"/>
        <v>#NAME?</v>
      </c>
      <c r="AO49" s="447" t="e">
        <f t="shared" si="69"/>
        <v>#REF!</v>
      </c>
      <c r="AP49" s="447" t="e">
        <f t="shared" si="70"/>
        <v>#REF!</v>
      </c>
      <c r="AQ49" s="447" t="e">
        <f t="shared" si="71"/>
        <v>#REF!</v>
      </c>
      <c r="AR49" s="447" t="e">
        <f t="shared" si="72"/>
        <v>#REF!</v>
      </c>
      <c r="AS49" s="18"/>
      <c r="AT49" s="2" t="e">
        <f t="shared" ca="1" si="73"/>
        <v>#REF!</v>
      </c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</row>
    <row r="50" spans="1:62" x14ac:dyDescent="0.2">
      <c r="A50" s="77" t="s">
        <v>202</v>
      </c>
      <c r="B50" s="573" t="s">
        <v>403</v>
      </c>
      <c r="C50" s="584">
        <v>894.17322834645665</v>
      </c>
      <c r="D50" s="16"/>
      <c r="E50" s="17">
        <v>29.7</v>
      </c>
      <c r="F50" s="17">
        <v>0</v>
      </c>
      <c r="G50" s="393">
        <v>1550.3691338582678</v>
      </c>
      <c r="H50" s="271">
        <v>374.65</v>
      </c>
      <c r="I50" s="17">
        <v>0</v>
      </c>
      <c r="J50" s="271">
        <v>112.17</v>
      </c>
      <c r="K50" s="17">
        <v>40</v>
      </c>
      <c r="L50" s="271">
        <v>60.58</v>
      </c>
      <c r="M50" s="271">
        <v>1311.5</v>
      </c>
      <c r="N50" s="271">
        <v>71.7</v>
      </c>
      <c r="O50" s="58"/>
      <c r="P50" s="441">
        <f t="shared" si="74"/>
        <v>1954.7191338582679</v>
      </c>
      <c r="Q50" s="441">
        <f t="shared" si="75"/>
        <v>3176.0191338582677</v>
      </c>
      <c r="R50" s="533"/>
      <c r="S50" s="441" t="e">
        <f t="shared" si="76"/>
        <v>#REF!</v>
      </c>
      <c r="T50" s="441" t="e">
        <f>Q50+IF($B$2="mil",1,0.0254)*$C50</f>
        <v>#REF!</v>
      </c>
      <c r="U50" s="533"/>
      <c r="V50" s="441" t="e">
        <f ca="1">MAX(V$41:V$42)+IF($B$2="mil",1,0.0254)*DDR2Specs!$B$3</f>
        <v>#NAME?</v>
      </c>
      <c r="W50" s="441" t="e">
        <f ca="1">MIN(V$41:V$42)+IF($B$2="mil",1,0.0254)*DDR2Specs!$C$3</f>
        <v>#NAME?</v>
      </c>
      <c r="X50" s="18"/>
      <c r="Y50" s="534" t="e">
        <f t="shared" ca="1" si="77"/>
        <v>#REF!</v>
      </c>
      <c r="Z50" s="447" t="e">
        <f t="shared" ca="1" si="78"/>
        <v>#REF!</v>
      </c>
      <c r="AA50" s="18"/>
      <c r="AB50" s="441" t="e">
        <f ca="1">MAX(AB$41:AB$42)+IF($B$2="mil",1,0.0254)*DDR2Specs!$E$3</f>
        <v>#NAME?</v>
      </c>
      <c r="AC50" s="441" t="e">
        <f ca="1">MIN(AB$41:AB$42)+IF($B$2="mil",1,0.0254)*DDR2Specs!$F$3</f>
        <v>#NAME?</v>
      </c>
      <c r="AD50" s="18"/>
      <c r="AE50" s="534" t="e">
        <f t="shared" ca="1" si="79"/>
        <v>#REF!</v>
      </c>
      <c r="AF50" s="447" t="e">
        <f t="shared" ca="1" si="64"/>
        <v>#REF!</v>
      </c>
      <c r="AG50" s="447" t="e">
        <f t="shared" si="65"/>
        <v>#REF!</v>
      </c>
      <c r="AH50" s="447" t="e">
        <f t="shared" si="66"/>
        <v>#REF!</v>
      </c>
      <c r="AI50" s="447" t="e">
        <f t="shared" si="80"/>
        <v>#REF!</v>
      </c>
      <c r="AJ50" s="447" t="e">
        <f t="shared" ca="1" si="67"/>
        <v>#NAME?</v>
      </c>
      <c r="AK50" s="447" t="e">
        <f t="shared" si="81"/>
        <v>#REF!</v>
      </c>
      <c r="AL50" s="447" t="e">
        <f t="shared" si="82"/>
        <v>#REF!</v>
      </c>
      <c r="AM50" s="447" t="e">
        <f t="shared" ca="1" si="83"/>
        <v>#NAME?</v>
      </c>
      <c r="AN50" s="447" t="e">
        <f t="shared" ca="1" si="68"/>
        <v>#NAME?</v>
      </c>
      <c r="AO50" s="447" t="e">
        <f t="shared" si="69"/>
        <v>#REF!</v>
      </c>
      <c r="AP50" s="447" t="e">
        <f t="shared" si="70"/>
        <v>#REF!</v>
      </c>
      <c r="AQ50" s="447" t="e">
        <f t="shared" si="71"/>
        <v>#REF!</v>
      </c>
      <c r="AR50" s="447" t="e">
        <f t="shared" si="72"/>
        <v>#REF!</v>
      </c>
      <c r="AS50" s="18"/>
      <c r="AT50" s="2" t="e">
        <f t="shared" ca="1" si="73"/>
        <v>#REF!</v>
      </c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</row>
    <row r="51" spans="1:62" x14ac:dyDescent="0.2">
      <c r="A51" s="77" t="s">
        <v>203</v>
      </c>
      <c r="B51" s="587" t="s">
        <v>556</v>
      </c>
      <c r="C51" s="584">
        <v>728.70078740157487</v>
      </c>
      <c r="D51" s="16"/>
      <c r="E51" s="17">
        <v>29.7</v>
      </c>
      <c r="F51" s="17">
        <v>0</v>
      </c>
      <c r="G51" s="393">
        <v>1829.64</v>
      </c>
      <c r="H51" s="271">
        <v>73.75</v>
      </c>
      <c r="I51" s="17">
        <v>0</v>
      </c>
      <c r="J51" s="271">
        <v>50.57</v>
      </c>
      <c r="K51" s="17">
        <v>40</v>
      </c>
      <c r="L51" s="271">
        <v>75.63</v>
      </c>
      <c r="M51" s="271">
        <v>1096.8499999999999</v>
      </c>
      <c r="N51" s="271">
        <v>32</v>
      </c>
      <c r="O51" s="58"/>
      <c r="P51" s="441">
        <f t="shared" si="74"/>
        <v>1933.0900000000001</v>
      </c>
      <c r="Q51" s="441">
        <f t="shared" si="75"/>
        <v>3154.39</v>
      </c>
      <c r="R51" s="533"/>
      <c r="S51" s="441" t="e">
        <f t="shared" si="76"/>
        <v>#REF!</v>
      </c>
      <c r="T51" s="441" t="e">
        <f t="shared" si="63"/>
        <v>#REF!</v>
      </c>
      <c r="U51" s="533"/>
      <c r="V51" s="441" t="e">
        <f ca="1">MAX(V$41:V$42)+IF($B$2="mil",1,0.0254)*DDR2Specs!$B$3</f>
        <v>#NAME?</v>
      </c>
      <c r="W51" s="441" t="e">
        <f ca="1">MIN(V$41:V$42)+IF($B$2="mil",1,0.0254)*DDR2Specs!$C$3</f>
        <v>#NAME?</v>
      </c>
      <c r="X51" s="18"/>
      <c r="Y51" s="534" t="e">
        <f t="shared" ca="1" si="77"/>
        <v>#REF!</v>
      </c>
      <c r="Z51" s="447" t="e">
        <f t="shared" ca="1" si="78"/>
        <v>#REF!</v>
      </c>
      <c r="AA51" s="18"/>
      <c r="AB51" s="441" t="e">
        <f ca="1">MAX(AB$41:AB$42)+IF($B$2="mil",1,0.0254)*DDR2Specs!$E$3</f>
        <v>#NAME?</v>
      </c>
      <c r="AC51" s="441" t="e">
        <f ca="1">MIN(AB$41:AB$42)+IF($B$2="mil",1,0.0254)*DDR2Specs!$F$3</f>
        <v>#NAME?</v>
      </c>
      <c r="AD51" s="18"/>
      <c r="AE51" s="534" t="e">
        <f t="shared" ca="1" si="79"/>
        <v>#REF!</v>
      </c>
      <c r="AF51" s="447" t="e">
        <f t="shared" ca="1" si="64"/>
        <v>#REF!</v>
      </c>
      <c r="AG51" s="447" t="e">
        <f t="shared" si="65"/>
        <v>#REF!</v>
      </c>
      <c r="AH51" s="447" t="e">
        <f t="shared" si="66"/>
        <v>#REF!</v>
      </c>
      <c r="AI51" s="447" t="e">
        <f t="shared" si="80"/>
        <v>#REF!</v>
      </c>
      <c r="AJ51" s="447" t="e">
        <f t="shared" ca="1" si="67"/>
        <v>#NAME?</v>
      </c>
      <c r="AK51" s="447" t="e">
        <f t="shared" si="81"/>
        <v>#REF!</v>
      </c>
      <c r="AL51" s="447" t="e">
        <f t="shared" si="82"/>
        <v>#REF!</v>
      </c>
      <c r="AM51" s="447" t="e">
        <f t="shared" ca="1" si="83"/>
        <v>#NAME?</v>
      </c>
      <c r="AN51" s="447" t="e">
        <f t="shared" ca="1" si="68"/>
        <v>#NAME?</v>
      </c>
      <c r="AO51" s="447" t="e">
        <f t="shared" si="69"/>
        <v>#REF!</v>
      </c>
      <c r="AP51" s="447" t="e">
        <f t="shared" si="70"/>
        <v>#REF!</v>
      </c>
      <c r="AQ51" s="447" t="e">
        <f t="shared" si="71"/>
        <v>#REF!</v>
      </c>
      <c r="AR51" s="447" t="e">
        <f t="shared" si="72"/>
        <v>#REF!</v>
      </c>
      <c r="AS51" s="18"/>
      <c r="AT51" s="2" t="e">
        <f t="shared" ca="1" si="73"/>
        <v>#REF!</v>
      </c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</row>
    <row r="52" spans="1:62" x14ac:dyDescent="0.2">
      <c r="A52" s="6" t="s">
        <v>249</v>
      </c>
      <c r="B52" s="588"/>
      <c r="C52" s="585"/>
      <c r="D52" s="51"/>
      <c r="E52" s="68"/>
      <c r="F52" s="68"/>
      <c r="G52" s="394"/>
      <c r="H52" s="265"/>
      <c r="I52" s="265"/>
      <c r="J52" s="265"/>
      <c r="K52" s="265"/>
      <c r="L52" s="265"/>
      <c r="M52" s="265"/>
      <c r="N52" s="265"/>
      <c r="O52" s="8"/>
      <c r="P52" s="68"/>
      <c r="Q52" s="68"/>
      <c r="R52" s="68"/>
      <c r="S52" s="539"/>
      <c r="T52" s="539"/>
      <c r="U52" s="539"/>
      <c r="V52" s="539"/>
      <c r="W52" s="540"/>
      <c r="X52" s="540"/>
      <c r="Y52" s="541"/>
      <c r="Z52" s="15"/>
      <c r="AA52" s="540"/>
      <c r="AB52" s="539"/>
      <c r="AC52" s="540"/>
      <c r="AD52" s="540"/>
      <c r="AE52" s="541"/>
      <c r="AF52" s="15"/>
      <c r="AG52" s="15"/>
      <c r="AH52" s="15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69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</row>
    <row r="53" spans="1:62" x14ac:dyDescent="0.2">
      <c r="A53" s="43" t="str">
        <f>'DDR2 Strobes - 1x16'!$A$21</f>
        <v>SA_DQS4</v>
      </c>
      <c r="B53" s="542" t="str">
        <f>'DDR2 Strobes - 1x16'!$B$21</f>
        <v>AB19</v>
      </c>
      <c r="C53" s="586"/>
      <c r="D53" s="44"/>
      <c r="E53" s="67"/>
      <c r="F53" s="67"/>
      <c r="G53" s="395"/>
      <c r="H53" s="266"/>
      <c r="I53" s="266"/>
      <c r="J53" s="266"/>
      <c r="K53" s="266"/>
      <c r="L53" s="266"/>
      <c r="M53" s="266"/>
      <c r="N53" s="266"/>
      <c r="O53" s="67"/>
      <c r="P53" s="67"/>
      <c r="Q53" s="67"/>
      <c r="R53" s="67"/>
      <c r="S53" s="48"/>
      <c r="T53" s="48"/>
      <c r="U53" s="48"/>
      <c r="V53" s="48" t="e">
        <f ca="1">GetSODIMMStrbLen($A53)</f>
        <v>#NAME?</v>
      </c>
      <c r="W53" s="48"/>
      <c r="X53" s="48"/>
      <c r="Y53" s="48"/>
      <c r="Z53" s="542"/>
      <c r="AA53" s="549" t="e">
        <f>"Strobe Pair to " &amp;#REF!</f>
        <v>#REF!</v>
      </c>
      <c r="AB53" s="48" t="e">
        <f ca="1">GetStrbLen(#REF!, "P")</f>
        <v>#NAME?</v>
      </c>
      <c r="AC53" s="48"/>
      <c r="AD53" s="48"/>
      <c r="AE53" s="48"/>
      <c r="AF53" s="542"/>
      <c r="AG53" s="542"/>
      <c r="AH53" s="542"/>
      <c r="AI53" s="542"/>
      <c r="AJ53" s="542"/>
      <c r="AK53" s="542"/>
      <c r="AL53" s="542"/>
      <c r="AM53" s="542"/>
      <c r="AN53" s="542"/>
      <c r="AO53" s="542"/>
      <c r="AP53" s="542"/>
      <c r="AQ53" s="542"/>
      <c r="AR53" s="542"/>
      <c r="AS53" s="48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</row>
    <row r="54" spans="1:62" x14ac:dyDescent="0.2">
      <c r="A54" s="43" t="str">
        <f>'DDR2 Strobes - 1x16'!$A$22</f>
        <v>SA_DQS4#</v>
      </c>
      <c r="B54" s="597" t="str">
        <f>'DDR2 Strobes - 1x16'!$B$22</f>
        <v>AB18</v>
      </c>
      <c r="C54" s="586"/>
      <c r="D54" s="44"/>
      <c r="E54" s="67"/>
      <c r="F54" s="67"/>
      <c r="G54" s="395"/>
      <c r="H54" s="266"/>
      <c r="I54" s="266"/>
      <c r="J54" s="266"/>
      <c r="K54" s="266"/>
      <c r="L54" s="266"/>
      <c r="M54" s="266"/>
      <c r="N54" s="266"/>
      <c r="O54" s="67"/>
      <c r="P54" s="67"/>
      <c r="Q54" s="536"/>
      <c r="R54" s="536"/>
      <c r="S54" s="537"/>
      <c r="T54" s="537"/>
      <c r="U54" s="48"/>
      <c r="V54" s="48" t="e">
        <f ca="1">GetSODIMMStrbLen($A54)</f>
        <v>#NAME?</v>
      </c>
      <c r="W54" s="48"/>
      <c r="X54" s="48"/>
      <c r="Y54" s="48"/>
      <c r="Z54" s="542"/>
      <c r="AA54" s="550" t="e">
        <f>"Strobe Pair to " &amp;#REF!</f>
        <v>#REF!</v>
      </c>
      <c r="AB54" s="48" t="e">
        <f ca="1">GetStrbLen(#REF!, "N")</f>
        <v>#NAME?</v>
      </c>
      <c r="AC54" s="48"/>
      <c r="AD54" s="48"/>
      <c r="AE54" s="48"/>
      <c r="AF54" s="542"/>
      <c r="AG54" s="542"/>
      <c r="AH54" s="542"/>
      <c r="AI54" s="543"/>
      <c r="AJ54" s="543"/>
      <c r="AK54" s="543"/>
      <c r="AL54" s="543"/>
      <c r="AM54" s="543"/>
      <c r="AN54" s="543"/>
      <c r="AO54" s="543"/>
      <c r="AP54" s="543"/>
      <c r="AQ54" s="543"/>
      <c r="AR54" s="543"/>
      <c r="AS54" s="48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</row>
    <row r="55" spans="1:62" x14ac:dyDescent="0.2">
      <c r="A55" s="77" t="s">
        <v>204</v>
      </c>
      <c r="B55" s="587" t="s">
        <v>404</v>
      </c>
      <c r="C55" s="584">
        <v>655.8661417322835</v>
      </c>
      <c r="D55" s="16"/>
      <c r="E55" s="17">
        <v>29.7</v>
      </c>
      <c r="F55" s="17">
        <v>0</v>
      </c>
      <c r="G55" s="393">
        <v>1846.2151181102358</v>
      </c>
      <c r="H55" s="271">
        <v>75.260000000000005</v>
      </c>
      <c r="I55" s="17">
        <v>0</v>
      </c>
      <c r="J55" s="271">
        <v>58.71</v>
      </c>
      <c r="K55" s="17">
        <v>40</v>
      </c>
      <c r="L55" s="271">
        <v>105.97</v>
      </c>
      <c r="M55" s="271">
        <v>1019.07</v>
      </c>
      <c r="N55" s="271">
        <v>78</v>
      </c>
      <c r="O55" s="58"/>
      <c r="P55" s="441">
        <f xml:space="preserve"> E55+F55+G55+H55</f>
        <v>1951.1751181102359</v>
      </c>
      <c r="Q55" s="441">
        <f t="shared" ref="Q55:Q63" si="84">SUM(E55:G55,I55:N55)</f>
        <v>3177.6651181102361</v>
      </c>
      <c r="R55" s="533"/>
      <c r="S55" s="441" t="e">
        <f>P55+IF($B$2="mil",1,0.0254)*C55</f>
        <v>#REF!</v>
      </c>
      <c r="T55" s="441" t="e">
        <f t="shared" ref="T55:T62" si="85">Q55+IF($B$2="mil",1,0.0254)*$C55</f>
        <v>#REF!</v>
      </c>
      <c r="U55" s="533"/>
      <c r="V55" s="441" t="e">
        <f ca="1">MAX(V$53:V$54)+IF($B$2="mil",1,0.0254)*DDR2Specs!$B$3</f>
        <v>#NAME?</v>
      </c>
      <c r="W55" s="441" t="e">
        <f ca="1">MIN(V$53:V$54)+IF($B$2="mil",1,0.0254)*DDR2Specs!$C$3</f>
        <v>#NAME?</v>
      </c>
      <c r="X55" s="18"/>
      <c r="Y55" s="534" t="e">
        <f ca="1">IF($S55&lt;$V55,$V55-$S55,"Pass")</f>
        <v>#REF!</v>
      </c>
      <c r="Z55" s="447" t="e">
        <f ca="1">IF($S55&gt;$W55,$S55-$W55,"Pass")</f>
        <v>#REF!</v>
      </c>
      <c r="AA55" s="18"/>
      <c r="AB55" s="441" t="e">
        <f ca="1">MAX(AB$53:AB$54)+IF($B$2="mil",1,0.0254)*DDR2Specs!$E$3</f>
        <v>#NAME?</v>
      </c>
      <c r="AC55" s="441" t="e">
        <f ca="1">MIN(AB$53:AB$54)+IF($B$2="mil",1,0.0254)*DDR2Specs!$F$3</f>
        <v>#NAME?</v>
      </c>
      <c r="AD55" s="18"/>
      <c r="AE55" s="534" t="e">
        <f t="shared" ref="AE55:AE63" ca="1" si="86">IF($T55&lt;$AB55,$AB55-$T55,"Pass")</f>
        <v>#REF!</v>
      </c>
      <c r="AF55" s="447" t="e">
        <f t="shared" ref="AF55:AF63" ca="1" si="87">IF($T55&gt;$AC55,$T55-$AC55,"Pass")</f>
        <v>#REF!</v>
      </c>
      <c r="AG55" s="447" t="e">
        <f t="shared" ref="AG55:AG63" si="88">IF($E55&lt;=IF($B$2="mil",1,0.0254)*50,"Pass",IF($B$2="mil",1,0.0254)*50-$E55)</f>
        <v>#REF!</v>
      </c>
      <c r="AH55" s="447" t="e">
        <f t="shared" ref="AH55:AH63" si="89">IF($F55&lt;=IF($B$2="mil",1,0.0254)*500,"Pass",IF($B$2="mil",1,0.0254)*500-$F55)</f>
        <v>#REF!</v>
      </c>
      <c r="AI55" s="447" t="e">
        <f>IF($H55&lt;=IF($B$2="mil",1,0.0254)*250,"Pass",IF($B$2="mil",1,0.0254)*250-$H55)</f>
        <v>#REF!</v>
      </c>
      <c r="AJ55" s="447" t="e">
        <f t="shared" ref="AJ55:AJ63" ca="1" si="90">CheckLength(IF($B$2="mil",1,0.0254)*1000, IF($B$2="mil",1,0.0254)*125-J55, 0, I55,J55,0)</f>
        <v>#NAME?</v>
      </c>
      <c r="AK55" s="447" t="e">
        <f>IF($J55&lt;=IF($B$2="mil",1,0.0254)*125,"Pass",IF($B$2="mil",1,0.0254)*125-$J55)</f>
        <v>#REF!</v>
      </c>
      <c r="AL55" s="447" t="e">
        <f>IF($L55&lt;=IF($B$2="mil",1,0.0254)*125,"Pass",IF($B$2="mil",1,0.0254)*125-$L55)</f>
        <v>#REF!</v>
      </c>
      <c r="AM55" s="447" t="e">
        <f ca="1">CheckLength(IF($B$2="mil",1,0.0254)*1250, IF($B$2="mil",1,0.0254)*125-L55, IF($B$2="mil",1,0.0254)*150-N55, M55,L55,N55)</f>
        <v>#NAME?</v>
      </c>
      <c r="AN55" s="447" t="e">
        <f t="shared" ref="AN55:AN63" ca="1" si="91">CheckLength2(IF($B$2="mil",1,0.0254)*1400,M55,N55,0)</f>
        <v>#NAME?</v>
      </c>
      <c r="AO55" s="447" t="e">
        <f t="shared" ref="AO55:AO63" si="92">IF(AND($P55&gt;=IF($B$2="mil",1,0.0254)*500, $P55&lt;=IF($B$2="mil",1,0.0254)*4000),"Pass",IF($B$2="mil",1,0.0254)*4000-$P55)</f>
        <v>#REF!</v>
      </c>
      <c r="AP55" s="447" t="e">
        <f t="shared" ref="AP55:AP63" si="93">IF(AND($S55&gt;=IF($B$2="mil",1,0.0254)*500, $S55&lt;=IF($B$2="mil",1,0.0254)*4500),"Pass",IF($B$2="mil",1,0.0254)*4500-$S55)</f>
        <v>#REF!</v>
      </c>
      <c r="AQ55" s="447" t="e">
        <f t="shared" ref="AQ55:AQ63" si="94">IF(AND($Q55&gt;=IF($B$2="mil",1,0.0254)*500, $Q55&lt;=IF($B$2="mil",1,0.0254)*5500),"Pass",IF($B$2="mil",1,0.0254)*5500-$Q55)</f>
        <v>#REF!</v>
      </c>
      <c r="AR55" s="447" t="e">
        <f t="shared" ref="AR55:AR63" si="95">IF(AND($T55&gt;=IF($B$2="mil",1,0.0254)*500, $T55&lt;=IF($B$2="mil",1,0.0254)*6000),"Pass",IF($B$2="mil",1,0.0254)*6000-$T55)</f>
        <v>#REF!</v>
      </c>
      <c r="AS55" s="18"/>
      <c r="AT55" s="2" t="e">
        <f t="shared" ref="AT55:AT63" ca="1" si="96">IF(AND(AG55="Pass",AP55="Pass",AI55="Pass",AH55="Pass",AO55="Pass",Y55="Pass",Z55="Pass",AN55="Pass",AM55="Pass",AL55="Pass",AK55="Pass",AJ55="Pass",AE55="Pass",AF55="Pass",AQ55="Pass",AR55="Pass"),"Pass","Fail")</f>
        <v>#REF!</v>
      </c>
      <c r="AU55" s="2" t="e">
        <f ca="1">IF(AND(AT55="Pass",AT56="Pass",AT57="Pass",AT58="Pass",AT59="Pass",AT60="Pass",AT61="Pass",AT62="Pass",AT63="Pass"),"Pass","Fail")</f>
        <v>#REF!</v>
      </c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</row>
    <row r="56" spans="1:62" x14ac:dyDescent="0.2">
      <c r="A56" s="77" t="s">
        <v>205</v>
      </c>
      <c r="B56" s="587" t="s">
        <v>405</v>
      </c>
      <c r="C56" s="584">
        <v>729.25196850393706</v>
      </c>
      <c r="D56" s="16"/>
      <c r="E56" s="17">
        <v>29.7</v>
      </c>
      <c r="F56" s="17">
        <v>0</v>
      </c>
      <c r="G56" s="393">
        <v>1822.2331496062989</v>
      </c>
      <c r="H56" s="271">
        <v>74.989999999999995</v>
      </c>
      <c r="I56" s="17">
        <v>0</v>
      </c>
      <c r="J56" s="271">
        <v>69.2</v>
      </c>
      <c r="K56" s="17">
        <v>40</v>
      </c>
      <c r="L56" s="271">
        <v>110.37</v>
      </c>
      <c r="M56" s="271">
        <v>981.91</v>
      </c>
      <c r="N56" s="271">
        <v>100</v>
      </c>
      <c r="O56" s="58"/>
      <c r="P56" s="441">
        <f t="shared" ref="P56:P63" si="97" xml:space="preserve"> E56+F56+G56+H56</f>
        <v>1926.9231496062989</v>
      </c>
      <c r="Q56" s="441">
        <f t="shared" si="84"/>
        <v>3153.4131496062987</v>
      </c>
      <c r="R56" s="533"/>
      <c r="S56" s="441" t="e">
        <f t="shared" ref="S56:S63" si="98">P56+IF($B$2="mil",1,0.0254)*C56</f>
        <v>#REF!</v>
      </c>
      <c r="T56" s="441" t="e">
        <f t="shared" si="85"/>
        <v>#REF!</v>
      </c>
      <c r="U56" s="533"/>
      <c r="V56" s="441" t="e">
        <f ca="1">MAX(V$53:V$54)+IF($B$2="mil",1,0.0254)*DDR2Specs!$B$3</f>
        <v>#NAME?</v>
      </c>
      <c r="W56" s="441" t="e">
        <f ca="1">MIN(V$53:V$54)+IF($B$2="mil",1,0.0254)*DDR2Specs!$C$3</f>
        <v>#NAME?</v>
      </c>
      <c r="X56" s="18"/>
      <c r="Y56" s="534" t="e">
        <f t="shared" ref="Y56:Y63" ca="1" si="99">IF($S56&lt;$V56,$V56-$S56,"Pass")</f>
        <v>#REF!</v>
      </c>
      <c r="Z56" s="447" t="e">
        <f t="shared" ref="Z56:Z63" ca="1" si="100">IF($S56&gt;$W56,$S56-$W56,"Pass")</f>
        <v>#REF!</v>
      </c>
      <c r="AA56" s="18"/>
      <c r="AB56" s="441" t="e">
        <f ca="1">MAX(AB$53:AB$54)+IF($B$2="mil",1,0.0254)*DDR2Specs!$E$3</f>
        <v>#NAME?</v>
      </c>
      <c r="AC56" s="441" t="e">
        <f ca="1">MIN(AB$53:AB$54)+IF($B$2="mil",1,0.0254)*DDR2Specs!$F$3</f>
        <v>#NAME?</v>
      </c>
      <c r="AD56" s="18"/>
      <c r="AE56" s="534" t="e">
        <f t="shared" ca="1" si="86"/>
        <v>#REF!</v>
      </c>
      <c r="AF56" s="447" t="e">
        <f t="shared" ca="1" si="87"/>
        <v>#REF!</v>
      </c>
      <c r="AG56" s="447" t="e">
        <f t="shared" si="88"/>
        <v>#REF!</v>
      </c>
      <c r="AH56" s="447" t="e">
        <f t="shared" si="89"/>
        <v>#REF!</v>
      </c>
      <c r="AI56" s="447" t="e">
        <f t="shared" ref="AI56:AI63" si="101">IF($H56&lt;=IF($B$2="mil",1,0.0254)*250,"Pass",IF($B$2="mil",1,0.0254)*250-$H56)</f>
        <v>#REF!</v>
      </c>
      <c r="AJ56" s="447" t="e">
        <f t="shared" ca="1" si="90"/>
        <v>#NAME?</v>
      </c>
      <c r="AK56" s="447" t="e">
        <f t="shared" ref="AK56:AK63" si="102">IF($J56&lt;=IF($B$2="mil",1,0.0254)*125,"Pass",IF($B$2="mil",1,0.0254)*125-$J56)</f>
        <v>#REF!</v>
      </c>
      <c r="AL56" s="447" t="e">
        <f t="shared" ref="AL56:AL63" si="103">IF($L56&lt;=IF($B$2="mil",1,0.0254)*125,"Pass",IF($B$2="mil",1,0.0254)*125-$L56)</f>
        <v>#REF!</v>
      </c>
      <c r="AM56" s="447" t="e">
        <f t="shared" ref="AM56:AM63" ca="1" si="104">CheckLength(IF($B$2="mil",1,0.0254)*1250, IF($B$2="mil",1,0.0254)*125-L56, IF($B$2="mil",1,0.0254)*150-N56, M56,L56,N56)</f>
        <v>#NAME?</v>
      </c>
      <c r="AN56" s="447" t="e">
        <f t="shared" ca="1" si="91"/>
        <v>#NAME?</v>
      </c>
      <c r="AO56" s="447" t="e">
        <f t="shared" si="92"/>
        <v>#REF!</v>
      </c>
      <c r="AP56" s="447" t="e">
        <f t="shared" si="93"/>
        <v>#REF!</v>
      </c>
      <c r="AQ56" s="447" t="e">
        <f t="shared" si="94"/>
        <v>#REF!</v>
      </c>
      <c r="AR56" s="447" t="e">
        <f t="shared" si="95"/>
        <v>#REF!</v>
      </c>
      <c r="AS56" s="18"/>
      <c r="AT56" s="2" t="e">
        <f t="shared" ca="1" si="96"/>
        <v>#REF!</v>
      </c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</row>
    <row r="57" spans="1:62" x14ac:dyDescent="0.2">
      <c r="A57" s="77" t="s">
        <v>206</v>
      </c>
      <c r="B57" s="587" t="s">
        <v>406</v>
      </c>
      <c r="C57" s="584">
        <v>732.12598425196848</v>
      </c>
      <c r="D57" s="16"/>
      <c r="E57" s="17">
        <v>29.7</v>
      </c>
      <c r="F57" s="17">
        <v>0</v>
      </c>
      <c r="G57" s="393">
        <v>1804.9302362204719</v>
      </c>
      <c r="H57" s="271">
        <v>115.6</v>
      </c>
      <c r="I57" s="17">
        <v>0</v>
      </c>
      <c r="J57" s="271">
        <v>102</v>
      </c>
      <c r="K57" s="17">
        <v>40</v>
      </c>
      <c r="L57" s="271">
        <v>85.78</v>
      </c>
      <c r="M57" s="271">
        <v>1082.31</v>
      </c>
      <c r="N57" s="271">
        <v>32</v>
      </c>
      <c r="O57" s="58"/>
      <c r="P57" s="441">
        <f t="shared" si="97"/>
        <v>1950.2302362204719</v>
      </c>
      <c r="Q57" s="441">
        <f t="shared" si="84"/>
        <v>3176.7202362204721</v>
      </c>
      <c r="R57" s="533"/>
      <c r="S57" s="441" t="e">
        <f t="shared" si="98"/>
        <v>#REF!</v>
      </c>
      <c r="T57" s="441" t="e">
        <f t="shared" si="85"/>
        <v>#REF!</v>
      </c>
      <c r="U57" s="533"/>
      <c r="V57" s="441" t="e">
        <f ca="1">MAX(V$53:V$54)+IF($B$2="mil",1,0.0254)*DDR2Specs!$B$3</f>
        <v>#NAME?</v>
      </c>
      <c r="W57" s="441" t="e">
        <f ca="1">MIN(V$53:V$54)+IF($B$2="mil",1,0.0254)*DDR2Specs!$C$3</f>
        <v>#NAME?</v>
      </c>
      <c r="X57" s="18"/>
      <c r="Y57" s="534" t="e">
        <f t="shared" ca="1" si="99"/>
        <v>#REF!</v>
      </c>
      <c r="Z57" s="447" t="e">
        <f t="shared" ca="1" si="100"/>
        <v>#REF!</v>
      </c>
      <c r="AA57" s="18"/>
      <c r="AB57" s="441" t="e">
        <f ca="1">MAX(AB$53:AB$54)+IF($B$2="mil",1,0.0254)*DDR2Specs!$E$3</f>
        <v>#NAME?</v>
      </c>
      <c r="AC57" s="441" t="e">
        <f ca="1">MIN(AB$53:AB$54)+IF($B$2="mil",1,0.0254)*DDR2Specs!$F$3</f>
        <v>#NAME?</v>
      </c>
      <c r="AD57" s="18"/>
      <c r="AE57" s="534" t="e">
        <f t="shared" ca="1" si="86"/>
        <v>#REF!</v>
      </c>
      <c r="AF57" s="447" t="e">
        <f t="shared" ca="1" si="87"/>
        <v>#REF!</v>
      </c>
      <c r="AG57" s="447" t="e">
        <f t="shared" si="88"/>
        <v>#REF!</v>
      </c>
      <c r="AH57" s="447" t="e">
        <f t="shared" si="89"/>
        <v>#REF!</v>
      </c>
      <c r="AI57" s="447" t="e">
        <f t="shared" si="101"/>
        <v>#REF!</v>
      </c>
      <c r="AJ57" s="447" t="e">
        <f t="shared" ca="1" si="90"/>
        <v>#NAME?</v>
      </c>
      <c r="AK57" s="447" t="e">
        <f t="shared" si="102"/>
        <v>#REF!</v>
      </c>
      <c r="AL57" s="447" t="e">
        <f t="shared" si="103"/>
        <v>#REF!</v>
      </c>
      <c r="AM57" s="447" t="e">
        <f t="shared" ca="1" si="104"/>
        <v>#NAME?</v>
      </c>
      <c r="AN57" s="447" t="e">
        <f t="shared" ca="1" si="91"/>
        <v>#NAME?</v>
      </c>
      <c r="AO57" s="447" t="e">
        <f t="shared" si="92"/>
        <v>#REF!</v>
      </c>
      <c r="AP57" s="447" t="e">
        <f t="shared" si="93"/>
        <v>#REF!</v>
      </c>
      <c r="AQ57" s="447" t="e">
        <f t="shared" si="94"/>
        <v>#REF!</v>
      </c>
      <c r="AR57" s="447" t="e">
        <f t="shared" si="95"/>
        <v>#REF!</v>
      </c>
      <c r="AS57" s="18"/>
      <c r="AT57" s="2" t="e">
        <f t="shared" ca="1" si="96"/>
        <v>#REF!</v>
      </c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</row>
    <row r="58" spans="1:62" x14ac:dyDescent="0.2">
      <c r="A58" s="77" t="s">
        <v>207</v>
      </c>
      <c r="B58" s="587" t="s">
        <v>158</v>
      </c>
      <c r="C58" s="584">
        <v>731.0236220472442</v>
      </c>
      <c r="D58" s="16"/>
      <c r="E58" s="17">
        <v>29.7</v>
      </c>
      <c r="F58" s="17">
        <v>0</v>
      </c>
      <c r="G58" s="393">
        <v>1840.4488976377947</v>
      </c>
      <c r="H58" s="271">
        <v>65.790000000000006</v>
      </c>
      <c r="I58" s="17">
        <v>0</v>
      </c>
      <c r="J58" s="271">
        <v>49.57</v>
      </c>
      <c r="K58" s="17">
        <v>40</v>
      </c>
      <c r="L58" s="271">
        <v>49.37</v>
      </c>
      <c r="M58" s="271">
        <v>1120.3399999999999</v>
      </c>
      <c r="N58" s="271">
        <v>33</v>
      </c>
      <c r="O58" s="58"/>
      <c r="P58" s="441">
        <f t="shared" si="97"/>
        <v>1935.9388976377948</v>
      </c>
      <c r="Q58" s="441">
        <f t="shared" si="84"/>
        <v>3162.4288976377948</v>
      </c>
      <c r="R58" s="533"/>
      <c r="S58" s="441" t="e">
        <f t="shared" si="98"/>
        <v>#REF!</v>
      </c>
      <c r="T58" s="441" t="e">
        <f t="shared" si="85"/>
        <v>#REF!</v>
      </c>
      <c r="U58" s="533"/>
      <c r="V58" s="441" t="e">
        <f ca="1">MAX(V$53:V$54)+IF($B$2="mil",1,0.0254)*DDR2Specs!$B$3</f>
        <v>#NAME?</v>
      </c>
      <c r="W58" s="441" t="e">
        <f ca="1">MIN(V$53:V$54)+IF($B$2="mil",1,0.0254)*DDR2Specs!$C$3</f>
        <v>#NAME?</v>
      </c>
      <c r="X58" s="18"/>
      <c r="Y58" s="534" t="e">
        <f t="shared" ca="1" si="99"/>
        <v>#REF!</v>
      </c>
      <c r="Z58" s="447" t="e">
        <f t="shared" ca="1" si="100"/>
        <v>#REF!</v>
      </c>
      <c r="AA58" s="18"/>
      <c r="AB58" s="441" t="e">
        <f ca="1">MAX(AB$53:AB$54)+IF($B$2="mil",1,0.0254)*DDR2Specs!$E$3</f>
        <v>#NAME?</v>
      </c>
      <c r="AC58" s="441" t="e">
        <f ca="1">MIN(AB$53:AB$54)+IF($B$2="mil",1,0.0254)*DDR2Specs!$F$3</f>
        <v>#NAME?</v>
      </c>
      <c r="AD58" s="18"/>
      <c r="AE58" s="534" t="e">
        <f t="shared" ca="1" si="86"/>
        <v>#REF!</v>
      </c>
      <c r="AF58" s="447" t="e">
        <f t="shared" ca="1" si="87"/>
        <v>#REF!</v>
      </c>
      <c r="AG58" s="447" t="e">
        <f t="shared" si="88"/>
        <v>#REF!</v>
      </c>
      <c r="AH58" s="447" t="e">
        <f t="shared" si="89"/>
        <v>#REF!</v>
      </c>
      <c r="AI58" s="447" t="e">
        <f t="shared" si="101"/>
        <v>#REF!</v>
      </c>
      <c r="AJ58" s="447" t="e">
        <f t="shared" ca="1" si="90"/>
        <v>#NAME?</v>
      </c>
      <c r="AK58" s="447" t="e">
        <f t="shared" si="102"/>
        <v>#REF!</v>
      </c>
      <c r="AL58" s="447" t="e">
        <f t="shared" si="103"/>
        <v>#REF!</v>
      </c>
      <c r="AM58" s="447" t="e">
        <f t="shared" ca="1" si="104"/>
        <v>#NAME?</v>
      </c>
      <c r="AN58" s="447" t="e">
        <f t="shared" ca="1" si="91"/>
        <v>#NAME?</v>
      </c>
      <c r="AO58" s="447" t="e">
        <f t="shared" si="92"/>
        <v>#REF!</v>
      </c>
      <c r="AP58" s="447" t="e">
        <f t="shared" si="93"/>
        <v>#REF!</v>
      </c>
      <c r="AQ58" s="447" t="e">
        <f t="shared" si="94"/>
        <v>#REF!</v>
      </c>
      <c r="AR58" s="447" t="e">
        <f t="shared" si="95"/>
        <v>#REF!</v>
      </c>
      <c r="AS58" s="18"/>
      <c r="AT58" s="2" t="e">
        <f t="shared" ca="1" si="96"/>
        <v>#REF!</v>
      </c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</row>
    <row r="59" spans="1:62" x14ac:dyDescent="0.2">
      <c r="A59" s="77" t="s">
        <v>208</v>
      </c>
      <c r="B59" s="587" t="s">
        <v>407</v>
      </c>
      <c r="C59" s="584">
        <v>672.48031496062993</v>
      </c>
      <c r="D59" s="16"/>
      <c r="E59" s="17">
        <v>29.7</v>
      </c>
      <c r="F59" s="17">
        <v>0</v>
      </c>
      <c r="G59" s="393">
        <v>1895.3881889763779</v>
      </c>
      <c r="H59" s="271">
        <v>76.52</v>
      </c>
      <c r="I59" s="17">
        <v>0</v>
      </c>
      <c r="J59" s="271">
        <v>50.13</v>
      </c>
      <c r="K59" s="17">
        <v>40</v>
      </c>
      <c r="L59" s="271">
        <v>116.6</v>
      </c>
      <c r="M59" s="271">
        <v>1000.19</v>
      </c>
      <c r="N59" s="271">
        <v>96.09</v>
      </c>
      <c r="O59" s="58"/>
      <c r="P59" s="441">
        <f t="shared" si="97"/>
        <v>2001.608188976378</v>
      </c>
      <c r="Q59" s="441">
        <f t="shared" si="84"/>
        <v>3228.0981889763784</v>
      </c>
      <c r="R59" s="533"/>
      <c r="S59" s="441" t="e">
        <f t="shared" si="98"/>
        <v>#REF!</v>
      </c>
      <c r="T59" s="441" t="e">
        <f t="shared" si="85"/>
        <v>#REF!</v>
      </c>
      <c r="U59" s="533"/>
      <c r="V59" s="441" t="e">
        <f ca="1">MAX(V$53:V$54)+IF($B$2="mil",1,0.0254)*DDR2Specs!$B$3</f>
        <v>#NAME?</v>
      </c>
      <c r="W59" s="441" t="e">
        <f ca="1">MIN(V$53:V$54)+IF($B$2="mil",1,0.0254)*DDR2Specs!$C$3</f>
        <v>#NAME?</v>
      </c>
      <c r="X59" s="18"/>
      <c r="Y59" s="534" t="e">
        <f t="shared" ca="1" si="99"/>
        <v>#REF!</v>
      </c>
      <c r="Z59" s="447" t="e">
        <f t="shared" ca="1" si="100"/>
        <v>#REF!</v>
      </c>
      <c r="AA59" s="18"/>
      <c r="AB59" s="441" t="e">
        <f ca="1">MAX(AB$53:AB$54)+IF($B$2="mil",1,0.0254)*DDR2Specs!$E$3</f>
        <v>#NAME?</v>
      </c>
      <c r="AC59" s="441" t="e">
        <f ca="1">MIN(AB$53:AB$54)+IF($B$2="mil",1,0.0254)*DDR2Specs!$F$3</f>
        <v>#NAME?</v>
      </c>
      <c r="AD59" s="18"/>
      <c r="AE59" s="534" t="e">
        <f t="shared" ca="1" si="86"/>
        <v>#REF!</v>
      </c>
      <c r="AF59" s="447" t="e">
        <f t="shared" ca="1" si="87"/>
        <v>#REF!</v>
      </c>
      <c r="AG59" s="447" t="e">
        <f t="shared" si="88"/>
        <v>#REF!</v>
      </c>
      <c r="AH59" s="447" t="e">
        <f t="shared" si="89"/>
        <v>#REF!</v>
      </c>
      <c r="AI59" s="447" t="e">
        <f t="shared" si="101"/>
        <v>#REF!</v>
      </c>
      <c r="AJ59" s="447" t="e">
        <f t="shared" ca="1" si="90"/>
        <v>#NAME?</v>
      </c>
      <c r="AK59" s="447" t="e">
        <f t="shared" si="102"/>
        <v>#REF!</v>
      </c>
      <c r="AL59" s="447" t="e">
        <f t="shared" si="103"/>
        <v>#REF!</v>
      </c>
      <c r="AM59" s="447" t="e">
        <f t="shared" ca="1" si="104"/>
        <v>#NAME?</v>
      </c>
      <c r="AN59" s="447" t="e">
        <f t="shared" ca="1" si="91"/>
        <v>#NAME?</v>
      </c>
      <c r="AO59" s="447" t="e">
        <f t="shared" si="92"/>
        <v>#REF!</v>
      </c>
      <c r="AP59" s="447" t="e">
        <f t="shared" si="93"/>
        <v>#REF!</v>
      </c>
      <c r="AQ59" s="447" t="e">
        <f t="shared" si="94"/>
        <v>#REF!</v>
      </c>
      <c r="AR59" s="447" t="e">
        <f t="shared" si="95"/>
        <v>#REF!</v>
      </c>
      <c r="AS59" s="18"/>
      <c r="AT59" s="2" t="e">
        <f t="shared" ca="1" si="96"/>
        <v>#REF!</v>
      </c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</row>
    <row r="60" spans="1:62" x14ac:dyDescent="0.2">
      <c r="A60" s="77" t="s">
        <v>209</v>
      </c>
      <c r="B60" s="587" t="s">
        <v>408</v>
      </c>
      <c r="C60" s="584">
        <v>669.5275590551181</v>
      </c>
      <c r="D60" s="16"/>
      <c r="E60" s="17">
        <v>29.7</v>
      </c>
      <c r="F60" s="17">
        <v>0</v>
      </c>
      <c r="G60" s="393">
        <v>1957.3247244094484</v>
      </c>
      <c r="H60" s="271">
        <v>102.3</v>
      </c>
      <c r="I60" s="17">
        <v>0</v>
      </c>
      <c r="J60" s="271">
        <v>78.23</v>
      </c>
      <c r="K60" s="17">
        <v>40</v>
      </c>
      <c r="L60" s="271">
        <v>109.2</v>
      </c>
      <c r="M60" s="271">
        <v>1013.36</v>
      </c>
      <c r="N60" s="271">
        <v>88</v>
      </c>
      <c r="O60" s="58"/>
      <c r="P60" s="441">
        <f t="shared" si="97"/>
        <v>2089.3247244094487</v>
      </c>
      <c r="Q60" s="441">
        <f t="shared" si="84"/>
        <v>3315.8147244094484</v>
      </c>
      <c r="R60" s="533"/>
      <c r="S60" s="441" t="e">
        <f t="shared" si="98"/>
        <v>#REF!</v>
      </c>
      <c r="T60" s="441" t="e">
        <f t="shared" si="85"/>
        <v>#REF!</v>
      </c>
      <c r="U60" s="533"/>
      <c r="V60" s="441" t="e">
        <f ca="1">MAX(V$53:V$54)+IF($B$2="mil",1,0.0254)*DDR2Specs!$B$3</f>
        <v>#NAME?</v>
      </c>
      <c r="W60" s="441" t="e">
        <f ca="1">MIN(V$53:V$54)+IF($B$2="mil",1,0.0254)*DDR2Specs!$C$3</f>
        <v>#NAME?</v>
      </c>
      <c r="X60" s="18"/>
      <c r="Y60" s="534" t="e">
        <f t="shared" ca="1" si="99"/>
        <v>#REF!</v>
      </c>
      <c r="Z60" s="447" t="e">
        <f t="shared" ca="1" si="100"/>
        <v>#REF!</v>
      </c>
      <c r="AA60" s="18"/>
      <c r="AB60" s="441" t="e">
        <f ca="1">MAX(AB$53:AB$54)+IF($B$2="mil",1,0.0254)*DDR2Specs!$E$3</f>
        <v>#NAME?</v>
      </c>
      <c r="AC60" s="441" t="e">
        <f ca="1">MIN(AB$53:AB$54)+IF($B$2="mil",1,0.0254)*DDR2Specs!$F$3</f>
        <v>#NAME?</v>
      </c>
      <c r="AD60" s="18"/>
      <c r="AE60" s="534" t="e">
        <f t="shared" ca="1" si="86"/>
        <v>#REF!</v>
      </c>
      <c r="AF60" s="447" t="e">
        <f t="shared" ca="1" si="87"/>
        <v>#REF!</v>
      </c>
      <c r="AG60" s="447" t="e">
        <f t="shared" si="88"/>
        <v>#REF!</v>
      </c>
      <c r="AH60" s="447" t="e">
        <f t="shared" si="89"/>
        <v>#REF!</v>
      </c>
      <c r="AI60" s="447" t="e">
        <f t="shared" si="101"/>
        <v>#REF!</v>
      </c>
      <c r="AJ60" s="447" t="e">
        <f t="shared" ca="1" si="90"/>
        <v>#NAME?</v>
      </c>
      <c r="AK60" s="447" t="e">
        <f t="shared" si="102"/>
        <v>#REF!</v>
      </c>
      <c r="AL60" s="447" t="e">
        <f t="shared" si="103"/>
        <v>#REF!</v>
      </c>
      <c r="AM60" s="447" t="e">
        <f t="shared" ca="1" si="104"/>
        <v>#NAME?</v>
      </c>
      <c r="AN60" s="447" t="e">
        <f t="shared" ca="1" si="91"/>
        <v>#NAME?</v>
      </c>
      <c r="AO60" s="447" t="e">
        <f t="shared" si="92"/>
        <v>#REF!</v>
      </c>
      <c r="AP60" s="447" t="e">
        <f t="shared" si="93"/>
        <v>#REF!</v>
      </c>
      <c r="AQ60" s="447" t="e">
        <f t="shared" si="94"/>
        <v>#REF!</v>
      </c>
      <c r="AR60" s="447" t="e">
        <f t="shared" si="95"/>
        <v>#REF!</v>
      </c>
      <c r="AS60" s="18"/>
      <c r="AT60" s="2" t="e">
        <f t="shared" ca="1" si="96"/>
        <v>#REF!</v>
      </c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</row>
    <row r="61" spans="1:62" x14ac:dyDescent="0.2">
      <c r="A61" s="77" t="s">
        <v>210</v>
      </c>
      <c r="B61" s="587" t="s">
        <v>409</v>
      </c>
      <c r="C61" s="584">
        <v>639.96062992125985</v>
      </c>
      <c r="D61" s="16"/>
      <c r="E61" s="17">
        <v>29.7</v>
      </c>
      <c r="F61" s="17">
        <v>0</v>
      </c>
      <c r="G61" s="393">
        <v>1976.4042519685038</v>
      </c>
      <c r="H61" s="271">
        <v>67</v>
      </c>
      <c r="I61" s="17">
        <v>0</v>
      </c>
      <c r="J61" s="271">
        <v>78.97</v>
      </c>
      <c r="K61" s="17">
        <v>40</v>
      </c>
      <c r="L61" s="271">
        <v>113.34</v>
      </c>
      <c r="M61" s="271">
        <v>965.09</v>
      </c>
      <c r="N61" s="271">
        <v>96.09</v>
      </c>
      <c r="O61" s="58"/>
      <c r="P61" s="441">
        <f t="shared" si="97"/>
        <v>2073.1042519685038</v>
      </c>
      <c r="Q61" s="441">
        <f t="shared" si="84"/>
        <v>3299.5942519685041</v>
      </c>
      <c r="R61" s="533"/>
      <c r="S61" s="441" t="e">
        <f t="shared" si="98"/>
        <v>#REF!</v>
      </c>
      <c r="T61" s="441" t="e">
        <f t="shared" si="85"/>
        <v>#REF!</v>
      </c>
      <c r="U61" s="533"/>
      <c r="V61" s="441" t="e">
        <f ca="1">MAX(V$53:V$54)+IF($B$2="mil",1,0.0254)*DDR2Specs!$B$3</f>
        <v>#NAME?</v>
      </c>
      <c r="W61" s="441" t="e">
        <f ca="1">MIN(V$53:V$54)+IF($B$2="mil",1,0.0254)*DDR2Specs!$C$3</f>
        <v>#NAME?</v>
      </c>
      <c r="X61" s="18"/>
      <c r="Y61" s="534" t="e">
        <f t="shared" ca="1" si="99"/>
        <v>#REF!</v>
      </c>
      <c r="Z61" s="447" t="e">
        <f t="shared" ca="1" si="100"/>
        <v>#REF!</v>
      </c>
      <c r="AA61" s="18"/>
      <c r="AB61" s="441" t="e">
        <f ca="1">MAX(AB$53:AB$54)+IF($B$2="mil",1,0.0254)*DDR2Specs!$E$3</f>
        <v>#NAME?</v>
      </c>
      <c r="AC61" s="441" t="e">
        <f ca="1">MIN(AB$53:AB$54)+IF($B$2="mil",1,0.0254)*DDR2Specs!$F$3</f>
        <v>#NAME?</v>
      </c>
      <c r="AD61" s="18"/>
      <c r="AE61" s="534" t="e">
        <f t="shared" ca="1" si="86"/>
        <v>#REF!</v>
      </c>
      <c r="AF61" s="447" t="e">
        <f t="shared" ca="1" si="87"/>
        <v>#REF!</v>
      </c>
      <c r="AG61" s="447" t="e">
        <f t="shared" si="88"/>
        <v>#REF!</v>
      </c>
      <c r="AH61" s="447" t="e">
        <f t="shared" si="89"/>
        <v>#REF!</v>
      </c>
      <c r="AI61" s="447" t="e">
        <f t="shared" si="101"/>
        <v>#REF!</v>
      </c>
      <c r="AJ61" s="447" t="e">
        <f t="shared" ca="1" si="90"/>
        <v>#NAME?</v>
      </c>
      <c r="AK61" s="447" t="e">
        <f t="shared" si="102"/>
        <v>#REF!</v>
      </c>
      <c r="AL61" s="447" t="e">
        <f t="shared" si="103"/>
        <v>#REF!</v>
      </c>
      <c r="AM61" s="447" t="e">
        <f t="shared" ca="1" si="104"/>
        <v>#NAME?</v>
      </c>
      <c r="AN61" s="447" t="e">
        <f t="shared" ca="1" si="91"/>
        <v>#NAME?</v>
      </c>
      <c r="AO61" s="447" t="e">
        <f t="shared" si="92"/>
        <v>#REF!</v>
      </c>
      <c r="AP61" s="447" t="e">
        <f t="shared" si="93"/>
        <v>#REF!</v>
      </c>
      <c r="AQ61" s="447" t="e">
        <f t="shared" si="94"/>
        <v>#REF!</v>
      </c>
      <c r="AR61" s="447" t="e">
        <f t="shared" si="95"/>
        <v>#REF!</v>
      </c>
      <c r="AS61" s="18"/>
      <c r="AT61" s="2" t="e">
        <f t="shared" ca="1" si="96"/>
        <v>#REF!</v>
      </c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</row>
    <row r="62" spans="1:62" x14ac:dyDescent="0.2">
      <c r="A62" s="77" t="s">
        <v>211</v>
      </c>
      <c r="B62" s="587" t="s">
        <v>410</v>
      </c>
      <c r="C62" s="584">
        <v>696.29921259842524</v>
      </c>
      <c r="D62" s="16"/>
      <c r="E62" s="17">
        <v>29.7</v>
      </c>
      <c r="F62" s="17">
        <v>0</v>
      </c>
      <c r="G62" s="393">
        <v>1928.6977165354328</v>
      </c>
      <c r="H62" s="271">
        <v>106.99</v>
      </c>
      <c r="I62" s="17">
        <v>0</v>
      </c>
      <c r="J62" s="271">
        <v>97.75</v>
      </c>
      <c r="K62" s="17">
        <v>40</v>
      </c>
      <c r="L62" s="271">
        <v>95.74</v>
      </c>
      <c r="M62" s="271">
        <v>1017.05</v>
      </c>
      <c r="N62" s="271">
        <v>82.94</v>
      </c>
      <c r="O62" s="58"/>
      <c r="P62" s="441">
        <f t="shared" si="97"/>
        <v>2065.3877165354329</v>
      </c>
      <c r="Q62" s="441">
        <f t="shared" si="84"/>
        <v>3291.8777165354327</v>
      </c>
      <c r="R62" s="533"/>
      <c r="S62" s="441" t="e">
        <f t="shared" si="98"/>
        <v>#REF!</v>
      </c>
      <c r="T62" s="441" t="e">
        <f t="shared" si="85"/>
        <v>#REF!</v>
      </c>
      <c r="U62" s="533"/>
      <c r="V62" s="441" t="e">
        <f ca="1">MAX(V$53:V$54)+IF($B$2="mil",1,0.0254)*DDR2Specs!$B$3</f>
        <v>#NAME?</v>
      </c>
      <c r="W62" s="441" t="e">
        <f ca="1">MIN(V$53:V$54)+IF($B$2="mil",1,0.0254)*DDR2Specs!$C$3</f>
        <v>#NAME?</v>
      </c>
      <c r="X62" s="18"/>
      <c r="Y62" s="534" t="e">
        <f t="shared" ca="1" si="99"/>
        <v>#REF!</v>
      </c>
      <c r="Z62" s="447" t="e">
        <f t="shared" ca="1" si="100"/>
        <v>#REF!</v>
      </c>
      <c r="AA62" s="18"/>
      <c r="AB62" s="441" t="e">
        <f ca="1">MAX(AB$53:AB$54)+IF($B$2="mil",1,0.0254)*DDR2Specs!$E$3</f>
        <v>#NAME?</v>
      </c>
      <c r="AC62" s="441" t="e">
        <f ca="1">MIN(AB$53:AB$54)+IF($B$2="mil",1,0.0254)*DDR2Specs!$F$3</f>
        <v>#NAME?</v>
      </c>
      <c r="AD62" s="18"/>
      <c r="AE62" s="534" t="e">
        <f t="shared" ca="1" si="86"/>
        <v>#REF!</v>
      </c>
      <c r="AF62" s="447" t="e">
        <f t="shared" ca="1" si="87"/>
        <v>#REF!</v>
      </c>
      <c r="AG62" s="447" t="e">
        <f t="shared" si="88"/>
        <v>#REF!</v>
      </c>
      <c r="AH62" s="447" t="e">
        <f t="shared" si="89"/>
        <v>#REF!</v>
      </c>
      <c r="AI62" s="447" t="e">
        <f t="shared" si="101"/>
        <v>#REF!</v>
      </c>
      <c r="AJ62" s="447" t="e">
        <f t="shared" ca="1" si="90"/>
        <v>#NAME?</v>
      </c>
      <c r="AK62" s="447" t="e">
        <f t="shared" si="102"/>
        <v>#REF!</v>
      </c>
      <c r="AL62" s="447" t="e">
        <f t="shared" si="103"/>
        <v>#REF!</v>
      </c>
      <c r="AM62" s="447" t="e">
        <f t="shared" ca="1" si="104"/>
        <v>#NAME?</v>
      </c>
      <c r="AN62" s="447" t="e">
        <f t="shared" ca="1" si="91"/>
        <v>#NAME?</v>
      </c>
      <c r="AO62" s="447" t="e">
        <f t="shared" si="92"/>
        <v>#REF!</v>
      </c>
      <c r="AP62" s="447" t="e">
        <f t="shared" si="93"/>
        <v>#REF!</v>
      </c>
      <c r="AQ62" s="447" t="e">
        <f t="shared" si="94"/>
        <v>#REF!</v>
      </c>
      <c r="AR62" s="447" t="e">
        <f t="shared" si="95"/>
        <v>#REF!</v>
      </c>
      <c r="AS62" s="18"/>
      <c r="AT62" s="2" t="e">
        <f t="shared" ca="1" si="96"/>
        <v>#REF!</v>
      </c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</row>
    <row r="63" spans="1:62" x14ac:dyDescent="0.2">
      <c r="A63" s="77" t="s">
        <v>212</v>
      </c>
      <c r="B63" s="587" t="s">
        <v>392</v>
      </c>
      <c r="C63" s="584">
        <v>755</v>
      </c>
      <c r="D63" s="16"/>
      <c r="E63" s="17">
        <v>29.7</v>
      </c>
      <c r="F63" s="17">
        <v>0</v>
      </c>
      <c r="G63" s="393">
        <v>1966.15</v>
      </c>
      <c r="H63" s="271">
        <v>70.069999999999993</v>
      </c>
      <c r="I63" s="17">
        <v>0</v>
      </c>
      <c r="J63" s="271">
        <v>62.03</v>
      </c>
      <c r="K63" s="17">
        <v>40</v>
      </c>
      <c r="L63" s="271">
        <v>122</v>
      </c>
      <c r="M63" s="271">
        <v>1041.04</v>
      </c>
      <c r="N63" s="271">
        <v>31.49</v>
      </c>
      <c r="O63" s="58"/>
      <c r="P63" s="441">
        <f t="shared" si="97"/>
        <v>2065.92</v>
      </c>
      <c r="Q63" s="441">
        <f t="shared" si="84"/>
        <v>3292.41</v>
      </c>
      <c r="R63" s="533"/>
      <c r="S63" s="441" t="e">
        <f t="shared" si="98"/>
        <v>#REF!</v>
      </c>
      <c r="T63" s="441" t="e">
        <f>Q63+IF($B$2="mil",1,0.0254)*$C63</f>
        <v>#REF!</v>
      </c>
      <c r="U63" s="533"/>
      <c r="V63" s="441" t="e">
        <f ca="1">MAX(V$53:V$54)+IF($B$2="mil",1,0.0254)*DDR2Specs!$B$3</f>
        <v>#NAME?</v>
      </c>
      <c r="W63" s="441" t="e">
        <f ca="1">MIN(V$53:V$54)+IF($B$2="mil",1,0.0254)*DDR2Specs!$C$3</f>
        <v>#NAME?</v>
      </c>
      <c r="X63" s="18"/>
      <c r="Y63" s="534" t="e">
        <f t="shared" ca="1" si="99"/>
        <v>#REF!</v>
      </c>
      <c r="Z63" s="447" t="e">
        <f t="shared" ca="1" si="100"/>
        <v>#REF!</v>
      </c>
      <c r="AA63" s="18"/>
      <c r="AB63" s="441" t="e">
        <f ca="1">MAX(AB$53:AB$54)+IF($B$2="mil",1,0.0254)*DDR2Specs!$E$3</f>
        <v>#NAME?</v>
      </c>
      <c r="AC63" s="441" t="e">
        <f ca="1">MIN(AB$53:AB$54)+IF($B$2="mil",1,0.0254)*DDR2Specs!$F$3</f>
        <v>#NAME?</v>
      </c>
      <c r="AD63" s="18"/>
      <c r="AE63" s="534" t="e">
        <f t="shared" ca="1" si="86"/>
        <v>#REF!</v>
      </c>
      <c r="AF63" s="447" t="e">
        <f t="shared" ca="1" si="87"/>
        <v>#REF!</v>
      </c>
      <c r="AG63" s="447" t="e">
        <f t="shared" si="88"/>
        <v>#REF!</v>
      </c>
      <c r="AH63" s="447" t="e">
        <f t="shared" si="89"/>
        <v>#REF!</v>
      </c>
      <c r="AI63" s="447" t="e">
        <f t="shared" si="101"/>
        <v>#REF!</v>
      </c>
      <c r="AJ63" s="447" t="e">
        <f t="shared" ca="1" si="90"/>
        <v>#NAME?</v>
      </c>
      <c r="AK63" s="447" t="e">
        <f t="shared" si="102"/>
        <v>#REF!</v>
      </c>
      <c r="AL63" s="447" t="e">
        <f t="shared" si="103"/>
        <v>#REF!</v>
      </c>
      <c r="AM63" s="447" t="e">
        <f t="shared" ca="1" si="104"/>
        <v>#NAME?</v>
      </c>
      <c r="AN63" s="447" t="e">
        <f t="shared" ca="1" si="91"/>
        <v>#NAME?</v>
      </c>
      <c r="AO63" s="447" t="e">
        <f t="shared" si="92"/>
        <v>#REF!</v>
      </c>
      <c r="AP63" s="447" t="e">
        <f t="shared" si="93"/>
        <v>#REF!</v>
      </c>
      <c r="AQ63" s="447" t="e">
        <f t="shared" si="94"/>
        <v>#REF!</v>
      </c>
      <c r="AR63" s="447" t="e">
        <f t="shared" si="95"/>
        <v>#REF!</v>
      </c>
      <c r="AS63" s="18"/>
      <c r="AT63" s="2" t="e">
        <f t="shared" ca="1" si="96"/>
        <v>#REF!</v>
      </c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</row>
    <row r="64" spans="1:62" x14ac:dyDescent="0.2">
      <c r="A64" s="6" t="s">
        <v>250</v>
      </c>
      <c r="B64" s="588"/>
      <c r="C64" s="585"/>
      <c r="D64" s="51"/>
      <c r="E64" s="68"/>
      <c r="F64" s="68"/>
      <c r="G64" s="394"/>
      <c r="H64" s="265"/>
      <c r="I64" s="265"/>
      <c r="J64" s="265"/>
      <c r="K64" s="265"/>
      <c r="L64" s="265"/>
      <c r="M64" s="265"/>
      <c r="N64" s="265"/>
      <c r="O64" s="8"/>
      <c r="P64" s="68"/>
      <c r="Q64" s="68"/>
      <c r="R64" s="68"/>
      <c r="S64" s="539"/>
      <c r="T64" s="539"/>
      <c r="U64" s="539"/>
      <c r="V64" s="539"/>
      <c r="W64" s="540"/>
      <c r="X64" s="540"/>
      <c r="Y64" s="541"/>
      <c r="Z64" s="15"/>
      <c r="AA64" s="540"/>
      <c r="AB64" s="539"/>
      <c r="AC64" s="540"/>
      <c r="AD64" s="540"/>
      <c r="AE64" s="541"/>
      <c r="AF64" s="15"/>
      <c r="AG64" s="15"/>
      <c r="AH64" s="15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69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</row>
    <row r="65" spans="1:62" x14ac:dyDescent="0.2">
      <c r="A65" s="43" t="str">
        <f>'DDR2 Strobes - 1x16'!$A$23</f>
        <v>SA_DQS5</v>
      </c>
      <c r="B65" s="597" t="str">
        <f>'DDR2 Strobes - 1x16'!$B$23</f>
        <v>AB16</v>
      </c>
      <c r="C65" s="586"/>
      <c r="D65" s="44"/>
      <c r="E65" s="67"/>
      <c r="F65" s="67"/>
      <c r="G65" s="395"/>
      <c r="H65" s="266"/>
      <c r="I65" s="266"/>
      <c r="J65" s="266"/>
      <c r="K65" s="266"/>
      <c r="L65" s="266"/>
      <c r="M65" s="266"/>
      <c r="N65" s="266"/>
      <c r="O65" s="67"/>
      <c r="P65" s="67"/>
      <c r="Q65" s="67"/>
      <c r="R65" s="67"/>
      <c r="S65" s="48"/>
      <c r="T65" s="48"/>
      <c r="U65" s="48"/>
      <c r="V65" s="48" t="e">
        <f ca="1">GetSODIMMStrbLen($A65)</f>
        <v>#NAME?</v>
      </c>
      <c r="W65" s="48"/>
      <c r="X65" s="48"/>
      <c r="Y65" s="48"/>
      <c r="Z65" s="542"/>
      <c r="AA65" s="549" t="e">
        <f>"Strobe Pair to " &amp;#REF!</f>
        <v>#REF!</v>
      </c>
      <c r="AB65" s="48" t="e">
        <f ca="1">GetStrbLen(#REF!, "P")</f>
        <v>#NAME?</v>
      </c>
      <c r="AC65" s="48"/>
      <c r="AD65" s="48"/>
      <c r="AE65" s="48"/>
      <c r="AF65" s="542"/>
      <c r="AG65" s="542"/>
      <c r="AH65" s="542"/>
      <c r="AI65" s="542"/>
      <c r="AJ65" s="542"/>
      <c r="AK65" s="542"/>
      <c r="AL65" s="542"/>
      <c r="AM65" s="542"/>
      <c r="AN65" s="542"/>
      <c r="AO65" s="542"/>
      <c r="AP65" s="542"/>
      <c r="AQ65" s="542"/>
      <c r="AR65" s="542"/>
      <c r="AS65" s="48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</row>
    <row r="66" spans="1:62" x14ac:dyDescent="0.2">
      <c r="A66" s="43" t="str">
        <f>'DDR2 Strobes - 1x16'!$A$24</f>
        <v>SA_DQS5#</v>
      </c>
      <c r="B66" s="597" t="str">
        <f>'DDR2 Strobes - 1x16'!$B$24</f>
        <v>AB15</v>
      </c>
      <c r="C66" s="586"/>
      <c r="D66" s="44"/>
      <c r="E66" s="67"/>
      <c r="F66" s="67"/>
      <c r="G66" s="395"/>
      <c r="H66" s="266"/>
      <c r="I66" s="266"/>
      <c r="J66" s="266"/>
      <c r="K66" s="266"/>
      <c r="L66" s="266"/>
      <c r="M66" s="266"/>
      <c r="N66" s="266"/>
      <c r="O66" s="67"/>
      <c r="P66" s="67"/>
      <c r="Q66" s="536"/>
      <c r="R66" s="536"/>
      <c r="S66" s="537"/>
      <c r="T66" s="537"/>
      <c r="U66" s="48"/>
      <c r="V66" s="48" t="e">
        <f ca="1">GetSODIMMStrbLen($A66)</f>
        <v>#NAME?</v>
      </c>
      <c r="W66" s="48"/>
      <c r="X66" s="48"/>
      <c r="Y66" s="48"/>
      <c r="Z66" s="542"/>
      <c r="AA66" s="550" t="e">
        <f>"Strobe Pair to " &amp;#REF!</f>
        <v>#REF!</v>
      </c>
      <c r="AB66" s="48" t="e">
        <f ca="1">GetStrbLen(#REF!, "N")</f>
        <v>#NAME?</v>
      </c>
      <c r="AC66" s="48"/>
      <c r="AD66" s="48"/>
      <c r="AE66" s="48"/>
      <c r="AF66" s="542"/>
      <c r="AG66" s="542"/>
      <c r="AH66" s="542"/>
      <c r="AI66" s="543"/>
      <c r="AJ66" s="543"/>
      <c r="AK66" s="543"/>
      <c r="AL66" s="543"/>
      <c r="AM66" s="543"/>
      <c r="AN66" s="543"/>
      <c r="AO66" s="543"/>
      <c r="AP66" s="543"/>
      <c r="AQ66" s="543"/>
      <c r="AR66" s="543"/>
      <c r="AS66" s="48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</row>
    <row r="67" spans="1:62" x14ac:dyDescent="0.2">
      <c r="A67" s="77" t="s">
        <v>213</v>
      </c>
      <c r="B67" s="587" t="s">
        <v>411</v>
      </c>
      <c r="C67" s="584">
        <v>714.1338582677165</v>
      </c>
      <c r="D67" s="16"/>
      <c r="E67" s="17">
        <v>29.7</v>
      </c>
      <c r="F67" s="17">
        <v>0</v>
      </c>
      <c r="G67" s="393">
        <v>1998.5401574803145</v>
      </c>
      <c r="H67" s="271">
        <v>115.23</v>
      </c>
      <c r="I67" s="17">
        <v>0</v>
      </c>
      <c r="J67" s="271">
        <v>97.86</v>
      </c>
      <c r="K67" s="17">
        <v>40</v>
      </c>
      <c r="L67" s="271">
        <v>85.2</v>
      </c>
      <c r="M67" s="271">
        <v>983.98</v>
      </c>
      <c r="N67" s="271">
        <v>98</v>
      </c>
      <c r="O67" s="58"/>
      <c r="P67" s="441">
        <f xml:space="preserve"> E67+F67+G67+H67</f>
        <v>2143.4701574803144</v>
      </c>
      <c r="Q67" s="441">
        <f>SUM(E67:G67,I67:N67)</f>
        <v>3333.2801574803143</v>
      </c>
      <c r="R67" s="533"/>
      <c r="S67" s="441" t="e">
        <f>P67+IF($B$2="mil",1,0.0254)*C67</f>
        <v>#REF!</v>
      </c>
      <c r="T67" s="441" t="e">
        <f>Q67+IF($B$2="mil",1,0.0254)*$C67</f>
        <v>#REF!</v>
      </c>
      <c r="U67" s="533"/>
      <c r="V67" s="441" t="e">
        <f ca="1">MAX(V$65:V$66)+IF($B$2="mil",1,0.0254)*DDR2Specs!$B$3</f>
        <v>#NAME?</v>
      </c>
      <c r="W67" s="441" t="e">
        <f ca="1">MIN(V$65:V$66)+IF($B$2="mil",1,0.0254)*DDR2Specs!$C$3</f>
        <v>#NAME?</v>
      </c>
      <c r="X67" s="18"/>
      <c r="Y67" s="534" t="e">
        <f ca="1">IF($S67&lt;$V67,$V67-$S67,"Pass")</f>
        <v>#REF!</v>
      </c>
      <c r="Z67" s="447" t="e">
        <f ca="1">IF($S67&gt;$W67,$S67-$W67,"Pass")</f>
        <v>#REF!</v>
      </c>
      <c r="AA67" s="18"/>
      <c r="AB67" s="441" t="e">
        <f ca="1">MAX(AB$65:AB$66)+IF($B$2="mil",1,0.0254)*DDR2Specs!$E$3</f>
        <v>#NAME?</v>
      </c>
      <c r="AC67" s="441" t="e">
        <f ca="1">MIN(AB$65:AB$66)+IF($B$2="mil",1,0.0254)*DDR2Specs!$F$3</f>
        <v>#NAME?</v>
      </c>
      <c r="AD67" s="18"/>
      <c r="AE67" s="534" t="e">
        <f t="shared" ref="AE67:AE75" ca="1" si="105">IF($T67&lt;$AB67,$AB67-$T67,"Pass")</f>
        <v>#REF!</v>
      </c>
      <c r="AF67" s="447" t="e">
        <f t="shared" ref="AF67:AF75" ca="1" si="106">IF($T67&gt;$AC67,$T67-$AC67,"Pass")</f>
        <v>#REF!</v>
      </c>
      <c r="AG67" s="447" t="e">
        <f t="shared" ref="AG67:AG75" si="107">IF($E67&lt;=IF($B$2="mil",1,0.0254)*50,"Pass",IF($B$2="mil",1,0.0254)*50-$E67)</f>
        <v>#REF!</v>
      </c>
      <c r="AH67" s="447" t="e">
        <f t="shared" ref="AH67:AH75" si="108">IF($F67&lt;=IF($B$2="mil",1,0.0254)*500,"Pass",IF($B$2="mil",1,0.0254)*500-$F67)</f>
        <v>#REF!</v>
      </c>
      <c r="AI67" s="447" t="e">
        <f>IF($H67&lt;=IF($B$2="mil",1,0.0254)*250,"Pass",IF($B$2="mil",1,0.0254)*250-$H67)</f>
        <v>#REF!</v>
      </c>
      <c r="AJ67" s="447" t="e">
        <f t="shared" ref="AJ67:AJ75" ca="1" si="109">CheckLength(IF($B$2="mil",1,0.0254)*1000, IF($B$2="mil",1,0.0254)*125-J67, 0, I67,J67,0)</f>
        <v>#NAME?</v>
      </c>
      <c r="AK67" s="447" t="e">
        <f>IF($J67&lt;=IF($B$2="mil",1,0.0254)*125,"Pass",IF($B$2="mil",1,0.0254)*125-$J67)</f>
        <v>#REF!</v>
      </c>
      <c r="AL67" s="447" t="e">
        <f>IF($L67&lt;=IF($B$2="mil",1,0.0254)*125,"Pass",IF($B$2="mil",1,0.0254)*125-$L67)</f>
        <v>#REF!</v>
      </c>
      <c r="AM67" s="447" t="e">
        <f ca="1">CheckLength(IF($B$2="mil",1,0.0254)*1250, IF($B$2="mil",1,0.0254)*125-L67, IF($B$2="mil",1,0.0254)*150-N67, M67,L67,N67)</f>
        <v>#NAME?</v>
      </c>
      <c r="AN67" s="447" t="e">
        <f t="shared" ref="AN67:AN75" ca="1" si="110">CheckLength2(IF($B$2="mil",1,0.0254)*1400,M67,N67,0)</f>
        <v>#NAME?</v>
      </c>
      <c r="AO67" s="447" t="e">
        <f t="shared" ref="AO67:AO75" si="111">IF(AND($P67&gt;=IF($B$2="mil",1,0.0254)*500, $P67&lt;=IF($B$2="mil",1,0.0254)*4000),"Pass",IF($B$2="mil",1,0.0254)*4000-$P67)</f>
        <v>#REF!</v>
      </c>
      <c r="AP67" s="447" t="e">
        <f t="shared" ref="AP67:AP75" si="112">IF(AND($S67&gt;=IF($B$2="mil",1,0.0254)*500, $S67&lt;=IF($B$2="mil",1,0.0254)*4500),"Pass",IF($B$2="mil",1,0.0254)*4500-$S67)</f>
        <v>#REF!</v>
      </c>
      <c r="AQ67" s="447" t="e">
        <f t="shared" ref="AQ67:AQ75" si="113">IF(AND($Q67&gt;=IF($B$2="mil",1,0.0254)*500, $Q67&lt;=IF($B$2="mil",1,0.0254)*5500),"Pass",IF($B$2="mil",1,0.0254)*5500-$Q67)</f>
        <v>#REF!</v>
      </c>
      <c r="AR67" s="447" t="e">
        <f t="shared" ref="AR67:AR75" si="114">IF(AND($T67&gt;=IF($B$2="mil",1,0.0254)*500, $T67&lt;=IF($B$2="mil",1,0.0254)*6000),"Pass",IF($B$2="mil",1,0.0254)*6000-$T67)</f>
        <v>#REF!</v>
      </c>
      <c r="AS67" s="18"/>
      <c r="AT67" s="2" t="e">
        <f t="shared" ref="AT67:AT75" ca="1" si="115">IF(AND(AG67="Pass",AP67="Pass",AI67="Pass",AH67="Pass",AO67="Pass",Y67="Pass",Z67="Pass",AN67="Pass",AM67="Pass",AL67="Pass",AK67="Pass",AJ67="Pass",AE67="Pass",AF67="Pass",AQ67="Pass",AR67="Pass"),"Pass","Fail")</f>
        <v>#REF!</v>
      </c>
      <c r="AU67" s="2" t="e">
        <f ca="1">IF(AND(AT67="Pass",AT68="Pass",AT69="Pass",AT70="Pass",AT71="Pass",AT72="Pass",AT73="Pass",AT74="Pass",AT75="Pass"),"Pass","Fail")</f>
        <v>#REF!</v>
      </c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</row>
    <row r="68" spans="1:62" x14ac:dyDescent="0.2">
      <c r="A68" s="77" t="s">
        <v>214</v>
      </c>
      <c r="B68" s="587" t="s">
        <v>412</v>
      </c>
      <c r="C68" s="584">
        <v>754.9212598425197</v>
      </c>
      <c r="D68" s="16"/>
      <c r="E68" s="17">
        <v>29.7</v>
      </c>
      <c r="F68" s="17">
        <v>0</v>
      </c>
      <c r="G68" s="393">
        <v>2078.0660629921258</v>
      </c>
      <c r="H68" s="271">
        <v>63.46</v>
      </c>
      <c r="I68" s="17">
        <v>0</v>
      </c>
      <c r="J68" s="271">
        <v>53.71</v>
      </c>
      <c r="K68" s="17">
        <v>40</v>
      </c>
      <c r="L68" s="271">
        <v>50.78</v>
      </c>
      <c r="M68" s="271">
        <v>1027.78</v>
      </c>
      <c r="N68" s="271">
        <v>81</v>
      </c>
      <c r="O68" s="58"/>
      <c r="P68" s="441">
        <f t="shared" ref="P68:P75" si="116" xml:space="preserve"> E68+F68+G68+H68</f>
        <v>2171.2260629921257</v>
      </c>
      <c r="Q68" s="441">
        <f t="shared" ref="Q68:Q75" si="117">SUM(E68:G68,I68:N68)</f>
        <v>3361.0360629921261</v>
      </c>
      <c r="R68" s="533"/>
      <c r="S68" s="441" t="e">
        <f t="shared" ref="S68:S75" si="118">P68+IF($B$2="mil",1,0.0254)*C68</f>
        <v>#REF!</v>
      </c>
      <c r="T68" s="441" t="e">
        <f>Q68+IF($B$2="mil",1,0.0254)*$C68</f>
        <v>#REF!</v>
      </c>
      <c r="U68" s="533"/>
      <c r="V68" s="441" t="e">
        <f ca="1">MAX(V$65:V$66)+IF($B$2="mil",1,0.0254)*DDR2Specs!$B$3</f>
        <v>#NAME?</v>
      </c>
      <c r="W68" s="441" t="e">
        <f ca="1">MIN(V$65:V$66)+IF($B$2="mil",1,0.0254)*DDR2Specs!$C$3</f>
        <v>#NAME?</v>
      </c>
      <c r="X68" s="18"/>
      <c r="Y68" s="534" t="e">
        <f t="shared" ref="Y68:Y75" ca="1" si="119">IF($S68&lt;$V68,$V68-$S68,"Pass")</f>
        <v>#REF!</v>
      </c>
      <c r="Z68" s="447" t="e">
        <f t="shared" ref="Z68:Z75" ca="1" si="120">IF($S68&gt;$W68,$S68-$W68,"Pass")</f>
        <v>#REF!</v>
      </c>
      <c r="AA68" s="18"/>
      <c r="AB68" s="441" t="e">
        <f ca="1">MAX(AB$65:AB$66)+IF($B$2="mil",1,0.0254)*DDR2Specs!$E$3</f>
        <v>#NAME?</v>
      </c>
      <c r="AC68" s="441" t="e">
        <f ca="1">MIN(AB$65:AB$66)+IF($B$2="mil",1,0.0254)*DDR2Specs!$F$3</f>
        <v>#NAME?</v>
      </c>
      <c r="AD68" s="18"/>
      <c r="AE68" s="534" t="e">
        <f t="shared" ca="1" si="105"/>
        <v>#REF!</v>
      </c>
      <c r="AF68" s="447" t="e">
        <f t="shared" ca="1" si="106"/>
        <v>#REF!</v>
      </c>
      <c r="AG68" s="447" t="e">
        <f t="shared" si="107"/>
        <v>#REF!</v>
      </c>
      <c r="AH68" s="447" t="e">
        <f t="shared" si="108"/>
        <v>#REF!</v>
      </c>
      <c r="AI68" s="447" t="e">
        <f t="shared" ref="AI68:AI75" si="121">IF($H68&lt;=IF($B$2="mil",1,0.0254)*250,"Pass",IF($B$2="mil",1,0.0254)*250-$H68)</f>
        <v>#REF!</v>
      </c>
      <c r="AJ68" s="447" t="e">
        <f t="shared" ca="1" si="109"/>
        <v>#NAME?</v>
      </c>
      <c r="AK68" s="447" t="e">
        <f t="shared" ref="AK68:AK75" si="122">IF($J68&lt;=IF($B$2="mil",1,0.0254)*125,"Pass",IF($B$2="mil",1,0.0254)*125-$J68)</f>
        <v>#REF!</v>
      </c>
      <c r="AL68" s="447" t="e">
        <f t="shared" ref="AL68:AL75" si="123">IF($L68&lt;=IF($B$2="mil",1,0.0254)*125,"Pass",IF($B$2="mil",1,0.0254)*125-$L68)</f>
        <v>#REF!</v>
      </c>
      <c r="AM68" s="447" t="e">
        <f t="shared" ref="AM68:AM75" ca="1" si="124">CheckLength(IF($B$2="mil",1,0.0254)*1250, IF($B$2="mil",1,0.0254)*125-L68, IF($B$2="mil",1,0.0254)*150-N68, M68,L68,N68)</f>
        <v>#NAME?</v>
      </c>
      <c r="AN68" s="447" t="e">
        <f t="shared" ca="1" si="110"/>
        <v>#NAME?</v>
      </c>
      <c r="AO68" s="447" t="e">
        <f t="shared" si="111"/>
        <v>#REF!</v>
      </c>
      <c r="AP68" s="447" t="e">
        <f t="shared" si="112"/>
        <v>#REF!</v>
      </c>
      <c r="AQ68" s="447" t="e">
        <f t="shared" si="113"/>
        <v>#REF!</v>
      </c>
      <c r="AR68" s="447" t="e">
        <f t="shared" si="114"/>
        <v>#REF!</v>
      </c>
      <c r="AS68" s="18"/>
      <c r="AT68" s="2" t="e">
        <f t="shared" ca="1" si="115"/>
        <v>#REF!</v>
      </c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</row>
    <row r="69" spans="1:62" x14ac:dyDescent="0.2">
      <c r="A69" s="77" t="s">
        <v>215</v>
      </c>
      <c r="B69" s="587" t="s">
        <v>413</v>
      </c>
      <c r="C69" s="584">
        <v>593.89763779527561</v>
      </c>
      <c r="D69" s="16"/>
      <c r="E69" s="17">
        <v>29.7</v>
      </c>
      <c r="F69" s="17">
        <v>0</v>
      </c>
      <c r="G69" s="393">
        <v>1958.6705511811019</v>
      </c>
      <c r="H69" s="271">
        <v>111.95</v>
      </c>
      <c r="I69" s="17">
        <v>0</v>
      </c>
      <c r="J69" s="271">
        <v>95.78</v>
      </c>
      <c r="K69" s="17">
        <v>40</v>
      </c>
      <c r="L69" s="271">
        <v>50.78</v>
      </c>
      <c r="M69" s="271">
        <v>1079.2</v>
      </c>
      <c r="N69" s="271">
        <v>36</v>
      </c>
      <c r="O69" s="58"/>
      <c r="P69" s="441">
        <f t="shared" si="116"/>
        <v>2100.320551181102</v>
      </c>
      <c r="Q69" s="441">
        <f t="shared" si="117"/>
        <v>3290.1305511811024</v>
      </c>
      <c r="R69" s="533"/>
      <c r="S69" s="441" t="e">
        <f t="shared" si="118"/>
        <v>#REF!</v>
      </c>
      <c r="T69" s="441" t="e">
        <f t="shared" ref="T69:T75" si="125">Q69+IF($B$2="mil",1,0.0254)*$C69</f>
        <v>#REF!</v>
      </c>
      <c r="U69" s="533"/>
      <c r="V69" s="441" t="e">
        <f ca="1">MAX(V$65:V$66)+IF($B$2="mil",1,0.0254)*DDR2Specs!$B$3</f>
        <v>#NAME?</v>
      </c>
      <c r="W69" s="441" t="e">
        <f ca="1">MIN(V$65:V$66)+IF($B$2="mil",1,0.0254)*DDR2Specs!$C$3</f>
        <v>#NAME?</v>
      </c>
      <c r="X69" s="18"/>
      <c r="Y69" s="534" t="e">
        <f t="shared" ca="1" si="119"/>
        <v>#REF!</v>
      </c>
      <c r="Z69" s="447" t="e">
        <f t="shared" ca="1" si="120"/>
        <v>#REF!</v>
      </c>
      <c r="AA69" s="18"/>
      <c r="AB69" s="441" t="e">
        <f ca="1">MAX(AB$65:AB$66)+IF($B$2="mil",1,0.0254)*DDR2Specs!$E$3</f>
        <v>#NAME?</v>
      </c>
      <c r="AC69" s="441" t="e">
        <f ca="1">MIN(AB$65:AB$66)+IF($B$2="mil",1,0.0254)*DDR2Specs!$F$3</f>
        <v>#NAME?</v>
      </c>
      <c r="AD69" s="18"/>
      <c r="AE69" s="534" t="e">
        <f t="shared" ca="1" si="105"/>
        <v>#REF!</v>
      </c>
      <c r="AF69" s="447" t="e">
        <f t="shared" ca="1" si="106"/>
        <v>#REF!</v>
      </c>
      <c r="AG69" s="447" t="e">
        <f t="shared" si="107"/>
        <v>#REF!</v>
      </c>
      <c r="AH69" s="447" t="e">
        <f t="shared" si="108"/>
        <v>#REF!</v>
      </c>
      <c r="AI69" s="447" t="e">
        <f t="shared" si="121"/>
        <v>#REF!</v>
      </c>
      <c r="AJ69" s="447" t="e">
        <f t="shared" ca="1" si="109"/>
        <v>#NAME?</v>
      </c>
      <c r="AK69" s="447" t="e">
        <f t="shared" si="122"/>
        <v>#REF!</v>
      </c>
      <c r="AL69" s="447" t="e">
        <f t="shared" si="123"/>
        <v>#REF!</v>
      </c>
      <c r="AM69" s="447" t="e">
        <f t="shared" ca="1" si="124"/>
        <v>#NAME?</v>
      </c>
      <c r="AN69" s="447" t="e">
        <f t="shared" ca="1" si="110"/>
        <v>#NAME?</v>
      </c>
      <c r="AO69" s="447" t="e">
        <f t="shared" si="111"/>
        <v>#REF!</v>
      </c>
      <c r="AP69" s="447" t="e">
        <f t="shared" si="112"/>
        <v>#REF!</v>
      </c>
      <c r="AQ69" s="447" t="e">
        <f t="shared" si="113"/>
        <v>#REF!</v>
      </c>
      <c r="AR69" s="447" t="e">
        <f t="shared" si="114"/>
        <v>#REF!</v>
      </c>
      <c r="AS69" s="18"/>
      <c r="AT69" s="2" t="e">
        <f t="shared" ca="1" si="115"/>
        <v>#REF!</v>
      </c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</row>
    <row r="70" spans="1:62" x14ac:dyDescent="0.2">
      <c r="A70" s="77" t="s">
        <v>216</v>
      </c>
      <c r="B70" s="587" t="s">
        <v>65</v>
      </c>
      <c r="C70" s="584">
        <v>626.37795275590554</v>
      </c>
      <c r="D70" s="16"/>
      <c r="E70" s="17">
        <v>29.7</v>
      </c>
      <c r="F70" s="17">
        <v>0</v>
      </c>
      <c r="G70" s="393">
        <v>1898.5307086614166</v>
      </c>
      <c r="H70" s="271">
        <v>65.83</v>
      </c>
      <c r="I70" s="17">
        <v>0</v>
      </c>
      <c r="J70" s="271">
        <v>55.78</v>
      </c>
      <c r="K70" s="17">
        <v>40</v>
      </c>
      <c r="L70" s="271">
        <v>85.78</v>
      </c>
      <c r="M70" s="271">
        <v>1041.08</v>
      </c>
      <c r="N70" s="271">
        <v>33</v>
      </c>
      <c r="O70" s="58"/>
      <c r="P70" s="441">
        <f t="shared" si="116"/>
        <v>1994.0607086614166</v>
      </c>
      <c r="Q70" s="441">
        <f t="shared" si="117"/>
        <v>3183.8707086614168</v>
      </c>
      <c r="R70" s="533"/>
      <c r="S70" s="441" t="e">
        <f t="shared" si="118"/>
        <v>#REF!</v>
      </c>
      <c r="T70" s="441" t="e">
        <f t="shared" si="125"/>
        <v>#REF!</v>
      </c>
      <c r="U70" s="533"/>
      <c r="V70" s="441" t="e">
        <f ca="1">MAX(V$65:V$66)+IF($B$2="mil",1,0.0254)*DDR2Specs!$B$3</f>
        <v>#NAME?</v>
      </c>
      <c r="W70" s="441" t="e">
        <f ca="1">MIN(V$65:V$66)+IF($B$2="mil",1,0.0254)*DDR2Specs!$C$3</f>
        <v>#NAME?</v>
      </c>
      <c r="X70" s="18"/>
      <c r="Y70" s="534" t="e">
        <f t="shared" ca="1" si="119"/>
        <v>#REF!</v>
      </c>
      <c r="Z70" s="447" t="e">
        <f t="shared" ca="1" si="120"/>
        <v>#REF!</v>
      </c>
      <c r="AA70" s="18"/>
      <c r="AB70" s="441" t="e">
        <f ca="1">MAX(AB$65:AB$66)+IF($B$2="mil",1,0.0254)*DDR2Specs!$E$3</f>
        <v>#NAME?</v>
      </c>
      <c r="AC70" s="441" t="e">
        <f ca="1">MIN(AB$65:AB$66)+IF($B$2="mil",1,0.0254)*DDR2Specs!$F$3</f>
        <v>#NAME?</v>
      </c>
      <c r="AD70" s="18"/>
      <c r="AE70" s="534" t="e">
        <f t="shared" ca="1" si="105"/>
        <v>#REF!</v>
      </c>
      <c r="AF70" s="447" t="e">
        <f t="shared" ca="1" si="106"/>
        <v>#REF!</v>
      </c>
      <c r="AG70" s="447" t="e">
        <f t="shared" si="107"/>
        <v>#REF!</v>
      </c>
      <c r="AH70" s="447" t="e">
        <f t="shared" si="108"/>
        <v>#REF!</v>
      </c>
      <c r="AI70" s="447" t="e">
        <f t="shared" si="121"/>
        <v>#REF!</v>
      </c>
      <c r="AJ70" s="447" t="e">
        <f t="shared" ca="1" si="109"/>
        <v>#NAME?</v>
      </c>
      <c r="AK70" s="447" t="e">
        <f t="shared" si="122"/>
        <v>#REF!</v>
      </c>
      <c r="AL70" s="447" t="e">
        <f t="shared" si="123"/>
        <v>#REF!</v>
      </c>
      <c r="AM70" s="447" t="e">
        <f t="shared" ca="1" si="124"/>
        <v>#NAME?</v>
      </c>
      <c r="AN70" s="447" t="e">
        <f t="shared" ca="1" si="110"/>
        <v>#NAME?</v>
      </c>
      <c r="AO70" s="447" t="e">
        <f t="shared" si="111"/>
        <v>#REF!</v>
      </c>
      <c r="AP70" s="447" t="e">
        <f t="shared" si="112"/>
        <v>#REF!</v>
      </c>
      <c r="AQ70" s="447" t="e">
        <f t="shared" si="113"/>
        <v>#REF!</v>
      </c>
      <c r="AR70" s="447" t="e">
        <f t="shared" si="114"/>
        <v>#REF!</v>
      </c>
      <c r="AS70" s="18"/>
      <c r="AT70" s="2" t="e">
        <f t="shared" ca="1" si="115"/>
        <v>#REF!</v>
      </c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</row>
    <row r="71" spans="1:62" x14ac:dyDescent="0.2">
      <c r="A71" s="77" t="s">
        <v>217</v>
      </c>
      <c r="B71" s="587" t="s">
        <v>414</v>
      </c>
      <c r="C71" s="584">
        <v>594.33070866141736</v>
      </c>
      <c r="D71" s="16"/>
      <c r="E71" s="17">
        <v>29.7</v>
      </c>
      <c r="F71" s="17">
        <v>0</v>
      </c>
      <c r="G71" s="393">
        <v>2049.671181102362</v>
      </c>
      <c r="H71" s="271">
        <v>80.91</v>
      </c>
      <c r="I71" s="17">
        <v>0</v>
      </c>
      <c r="J71" s="271">
        <v>54.06</v>
      </c>
      <c r="K71" s="17">
        <v>40</v>
      </c>
      <c r="L71" s="271">
        <v>92</v>
      </c>
      <c r="M71" s="271">
        <v>1004.66</v>
      </c>
      <c r="N71" s="271">
        <v>80</v>
      </c>
      <c r="O71" s="58"/>
      <c r="P71" s="441">
        <f t="shared" si="116"/>
        <v>2160.2811811023616</v>
      </c>
      <c r="Q71" s="441">
        <f t="shared" si="117"/>
        <v>3350.0911811023616</v>
      </c>
      <c r="R71" s="533"/>
      <c r="S71" s="441" t="e">
        <f t="shared" si="118"/>
        <v>#REF!</v>
      </c>
      <c r="T71" s="441" t="e">
        <f t="shared" si="125"/>
        <v>#REF!</v>
      </c>
      <c r="U71" s="533"/>
      <c r="V71" s="441" t="e">
        <f ca="1">MAX(V$65:V$66)+IF($B$2="mil",1,0.0254)*DDR2Specs!$B$3</f>
        <v>#NAME?</v>
      </c>
      <c r="W71" s="441" t="e">
        <f ca="1">MIN(V$65:V$66)+IF($B$2="mil",1,0.0254)*DDR2Specs!$C$3</f>
        <v>#NAME?</v>
      </c>
      <c r="X71" s="18"/>
      <c r="Y71" s="534" t="e">
        <f t="shared" ca="1" si="119"/>
        <v>#REF!</v>
      </c>
      <c r="Z71" s="447" t="e">
        <f t="shared" ca="1" si="120"/>
        <v>#REF!</v>
      </c>
      <c r="AA71" s="18"/>
      <c r="AB71" s="441" t="e">
        <f ca="1">MAX(AB$65:AB$66)+IF($B$2="mil",1,0.0254)*DDR2Specs!$E$3</f>
        <v>#NAME?</v>
      </c>
      <c r="AC71" s="441" t="e">
        <f ca="1">MIN(AB$65:AB$66)+IF($B$2="mil",1,0.0254)*DDR2Specs!$F$3</f>
        <v>#NAME?</v>
      </c>
      <c r="AD71" s="18"/>
      <c r="AE71" s="534" t="e">
        <f t="shared" ca="1" si="105"/>
        <v>#REF!</v>
      </c>
      <c r="AF71" s="447" t="e">
        <f t="shared" ca="1" si="106"/>
        <v>#REF!</v>
      </c>
      <c r="AG71" s="447" t="e">
        <f t="shared" si="107"/>
        <v>#REF!</v>
      </c>
      <c r="AH71" s="447" t="e">
        <f t="shared" si="108"/>
        <v>#REF!</v>
      </c>
      <c r="AI71" s="447" t="e">
        <f t="shared" si="121"/>
        <v>#REF!</v>
      </c>
      <c r="AJ71" s="447" t="e">
        <f t="shared" ca="1" si="109"/>
        <v>#NAME?</v>
      </c>
      <c r="AK71" s="447" t="e">
        <f t="shared" si="122"/>
        <v>#REF!</v>
      </c>
      <c r="AL71" s="447" t="e">
        <f t="shared" si="123"/>
        <v>#REF!</v>
      </c>
      <c r="AM71" s="447" t="e">
        <f t="shared" ca="1" si="124"/>
        <v>#NAME?</v>
      </c>
      <c r="AN71" s="447" t="e">
        <f t="shared" ca="1" si="110"/>
        <v>#NAME?</v>
      </c>
      <c r="AO71" s="447" t="e">
        <f t="shared" si="111"/>
        <v>#REF!</v>
      </c>
      <c r="AP71" s="447" t="e">
        <f t="shared" si="112"/>
        <v>#REF!</v>
      </c>
      <c r="AQ71" s="447" t="e">
        <f t="shared" si="113"/>
        <v>#REF!</v>
      </c>
      <c r="AR71" s="447" t="e">
        <f t="shared" si="114"/>
        <v>#REF!</v>
      </c>
      <c r="AS71" s="18"/>
      <c r="AT71" s="2" t="e">
        <f t="shared" ca="1" si="115"/>
        <v>#REF!</v>
      </c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</row>
    <row r="72" spans="1:62" x14ac:dyDescent="0.2">
      <c r="A72" s="77" t="s">
        <v>218</v>
      </c>
      <c r="B72" s="587" t="s">
        <v>415</v>
      </c>
      <c r="C72" s="584">
        <v>587.95275590551182</v>
      </c>
      <c r="D72" s="16"/>
      <c r="E72" s="17">
        <v>29.7</v>
      </c>
      <c r="F72" s="17">
        <v>0</v>
      </c>
      <c r="G72" s="393">
        <v>1934.3452755905505</v>
      </c>
      <c r="H72" s="271">
        <v>123.48</v>
      </c>
      <c r="I72" s="17">
        <v>0</v>
      </c>
      <c r="J72" s="271">
        <v>103.97</v>
      </c>
      <c r="K72" s="17">
        <v>40</v>
      </c>
      <c r="L72" s="271">
        <v>124</v>
      </c>
      <c r="M72" s="271">
        <v>945.32</v>
      </c>
      <c r="N72" s="271">
        <v>100</v>
      </c>
      <c r="O72" s="58"/>
      <c r="P72" s="441">
        <f t="shared" si="116"/>
        <v>2087.5252755905503</v>
      </c>
      <c r="Q72" s="441">
        <f t="shared" si="117"/>
        <v>3277.3352755905507</v>
      </c>
      <c r="R72" s="533"/>
      <c r="S72" s="441" t="e">
        <f t="shared" si="118"/>
        <v>#REF!</v>
      </c>
      <c r="T72" s="441" t="e">
        <f t="shared" si="125"/>
        <v>#REF!</v>
      </c>
      <c r="U72" s="533"/>
      <c r="V72" s="441" t="e">
        <f ca="1">MAX(V$65:V$66)+IF($B$2="mil",1,0.0254)*DDR2Specs!$B$3</f>
        <v>#NAME?</v>
      </c>
      <c r="W72" s="441" t="e">
        <f ca="1">MIN(V$65:V$66)+IF($B$2="mil",1,0.0254)*DDR2Specs!$C$3</f>
        <v>#NAME?</v>
      </c>
      <c r="X72" s="18"/>
      <c r="Y72" s="534" t="e">
        <f t="shared" ca="1" si="119"/>
        <v>#REF!</v>
      </c>
      <c r="Z72" s="447" t="e">
        <f t="shared" ca="1" si="120"/>
        <v>#REF!</v>
      </c>
      <c r="AA72" s="18"/>
      <c r="AB72" s="441" t="e">
        <f ca="1">MAX(AB$65:AB$66)+IF($B$2="mil",1,0.0254)*DDR2Specs!$E$3</f>
        <v>#NAME?</v>
      </c>
      <c r="AC72" s="441" t="e">
        <f ca="1">MIN(AB$65:AB$66)+IF($B$2="mil",1,0.0254)*DDR2Specs!$F$3</f>
        <v>#NAME?</v>
      </c>
      <c r="AD72" s="18"/>
      <c r="AE72" s="534" t="e">
        <f t="shared" ca="1" si="105"/>
        <v>#REF!</v>
      </c>
      <c r="AF72" s="447" t="e">
        <f t="shared" ca="1" si="106"/>
        <v>#REF!</v>
      </c>
      <c r="AG72" s="447" t="e">
        <f t="shared" si="107"/>
        <v>#REF!</v>
      </c>
      <c r="AH72" s="447" t="e">
        <f t="shared" si="108"/>
        <v>#REF!</v>
      </c>
      <c r="AI72" s="447" t="e">
        <f t="shared" si="121"/>
        <v>#REF!</v>
      </c>
      <c r="AJ72" s="447" t="e">
        <f t="shared" ca="1" si="109"/>
        <v>#NAME?</v>
      </c>
      <c r="AK72" s="447" t="e">
        <f t="shared" si="122"/>
        <v>#REF!</v>
      </c>
      <c r="AL72" s="447" t="e">
        <f t="shared" si="123"/>
        <v>#REF!</v>
      </c>
      <c r="AM72" s="447" t="e">
        <f t="shared" ca="1" si="124"/>
        <v>#NAME?</v>
      </c>
      <c r="AN72" s="447" t="e">
        <f t="shared" ca="1" si="110"/>
        <v>#NAME?</v>
      </c>
      <c r="AO72" s="447" t="e">
        <f t="shared" si="111"/>
        <v>#REF!</v>
      </c>
      <c r="AP72" s="447" t="e">
        <f t="shared" si="112"/>
        <v>#REF!</v>
      </c>
      <c r="AQ72" s="447" t="e">
        <f t="shared" si="113"/>
        <v>#REF!</v>
      </c>
      <c r="AR72" s="447" t="e">
        <f t="shared" si="114"/>
        <v>#REF!</v>
      </c>
      <c r="AS72" s="18"/>
      <c r="AT72" s="2" t="e">
        <f t="shared" ca="1" si="115"/>
        <v>#REF!</v>
      </c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</row>
    <row r="73" spans="1:62" x14ac:dyDescent="0.2">
      <c r="A73" s="77" t="s">
        <v>219</v>
      </c>
      <c r="B73" s="587" t="s">
        <v>416</v>
      </c>
      <c r="C73" s="584">
        <v>692.79527559055123</v>
      </c>
      <c r="D73" s="16"/>
      <c r="E73" s="17">
        <v>29.7</v>
      </c>
      <c r="F73" s="17">
        <v>0</v>
      </c>
      <c r="G73" s="393">
        <v>2059.7757480314958</v>
      </c>
      <c r="H73" s="271">
        <v>94.27</v>
      </c>
      <c r="I73" s="17">
        <v>0</v>
      </c>
      <c r="J73" s="271">
        <v>69.34</v>
      </c>
      <c r="K73" s="17">
        <v>40</v>
      </c>
      <c r="L73" s="271">
        <v>89.93</v>
      </c>
      <c r="M73" s="271">
        <v>1003.81</v>
      </c>
      <c r="N73" s="271">
        <v>81</v>
      </c>
      <c r="O73" s="58"/>
      <c r="P73" s="441">
        <f t="shared" si="116"/>
        <v>2183.7457480314956</v>
      </c>
      <c r="Q73" s="441">
        <f t="shared" si="117"/>
        <v>3373.5557480314956</v>
      </c>
      <c r="R73" s="533"/>
      <c r="S73" s="441" t="e">
        <f t="shared" si="118"/>
        <v>#REF!</v>
      </c>
      <c r="T73" s="441" t="e">
        <f>Q73+IF($B$2="mil",1,0.0254)*$C73</f>
        <v>#REF!</v>
      </c>
      <c r="U73" s="533"/>
      <c r="V73" s="441" t="e">
        <f ca="1">MAX(V$65:V$66)+IF($B$2="mil",1,0.0254)*DDR2Specs!$B$3</f>
        <v>#NAME?</v>
      </c>
      <c r="W73" s="441" t="e">
        <f ca="1">MIN(V$65:V$66)+IF($B$2="mil",1,0.0254)*DDR2Specs!$C$3</f>
        <v>#NAME?</v>
      </c>
      <c r="X73" s="18"/>
      <c r="Y73" s="534" t="e">
        <f t="shared" ca="1" si="119"/>
        <v>#REF!</v>
      </c>
      <c r="Z73" s="447" t="e">
        <f t="shared" ca="1" si="120"/>
        <v>#REF!</v>
      </c>
      <c r="AA73" s="18"/>
      <c r="AB73" s="441" t="e">
        <f ca="1">MAX(AB$65:AB$66)+IF($B$2="mil",1,0.0254)*DDR2Specs!$E$3</f>
        <v>#NAME?</v>
      </c>
      <c r="AC73" s="441" t="e">
        <f ca="1">MIN(AB$65:AB$66)+IF($B$2="mil",1,0.0254)*DDR2Specs!$F$3</f>
        <v>#NAME?</v>
      </c>
      <c r="AD73" s="18"/>
      <c r="AE73" s="534" t="e">
        <f t="shared" ca="1" si="105"/>
        <v>#REF!</v>
      </c>
      <c r="AF73" s="447" t="e">
        <f t="shared" ca="1" si="106"/>
        <v>#REF!</v>
      </c>
      <c r="AG73" s="447" t="e">
        <f t="shared" si="107"/>
        <v>#REF!</v>
      </c>
      <c r="AH73" s="447" t="e">
        <f t="shared" si="108"/>
        <v>#REF!</v>
      </c>
      <c r="AI73" s="447" t="e">
        <f t="shared" si="121"/>
        <v>#REF!</v>
      </c>
      <c r="AJ73" s="447" t="e">
        <f t="shared" ca="1" si="109"/>
        <v>#NAME?</v>
      </c>
      <c r="AK73" s="447" t="e">
        <f t="shared" si="122"/>
        <v>#REF!</v>
      </c>
      <c r="AL73" s="447" t="e">
        <f t="shared" si="123"/>
        <v>#REF!</v>
      </c>
      <c r="AM73" s="447" t="e">
        <f t="shared" ca="1" si="124"/>
        <v>#NAME?</v>
      </c>
      <c r="AN73" s="447" t="e">
        <f t="shared" ca="1" si="110"/>
        <v>#NAME?</v>
      </c>
      <c r="AO73" s="447" t="e">
        <f t="shared" si="111"/>
        <v>#REF!</v>
      </c>
      <c r="AP73" s="447" t="e">
        <f t="shared" si="112"/>
        <v>#REF!</v>
      </c>
      <c r="AQ73" s="447" t="e">
        <f t="shared" si="113"/>
        <v>#REF!</v>
      </c>
      <c r="AR73" s="447" t="e">
        <f t="shared" si="114"/>
        <v>#REF!</v>
      </c>
      <c r="AS73" s="18"/>
      <c r="AT73" s="2" t="e">
        <f t="shared" ca="1" si="115"/>
        <v>#REF!</v>
      </c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</row>
    <row r="74" spans="1:62" x14ac:dyDescent="0.2">
      <c r="A74" s="77" t="s">
        <v>220</v>
      </c>
      <c r="B74" s="587" t="s">
        <v>417</v>
      </c>
      <c r="C74" s="584">
        <v>671.29921259842513</v>
      </c>
      <c r="D74" s="16"/>
      <c r="E74" s="17">
        <v>29.7</v>
      </c>
      <c r="F74" s="17">
        <v>0</v>
      </c>
      <c r="G74" s="393">
        <v>1897.2049606299208</v>
      </c>
      <c r="H74" s="271">
        <v>88.14</v>
      </c>
      <c r="I74" s="17">
        <v>0</v>
      </c>
      <c r="J74" s="271">
        <v>72.650000000000006</v>
      </c>
      <c r="K74" s="17">
        <v>40</v>
      </c>
      <c r="L74" s="271">
        <v>120.65</v>
      </c>
      <c r="M74" s="271">
        <v>957.65</v>
      </c>
      <c r="N74" s="271">
        <v>87</v>
      </c>
      <c r="O74" s="58"/>
      <c r="P74" s="441">
        <f t="shared" si="116"/>
        <v>2015.044960629921</v>
      </c>
      <c r="Q74" s="441">
        <f t="shared" si="117"/>
        <v>3204.8549606299212</v>
      </c>
      <c r="R74" s="533"/>
      <c r="S74" s="441" t="e">
        <f t="shared" si="118"/>
        <v>#REF!</v>
      </c>
      <c r="T74" s="441" t="e">
        <f t="shared" si="125"/>
        <v>#REF!</v>
      </c>
      <c r="U74" s="533"/>
      <c r="V74" s="441" t="e">
        <f ca="1">MAX(V$65:V$66)+IF($B$2="mil",1,0.0254)*DDR2Specs!$B$3</f>
        <v>#NAME?</v>
      </c>
      <c r="W74" s="441" t="e">
        <f ca="1">MIN(V$65:V$66)+IF($B$2="mil",1,0.0254)*DDR2Specs!$C$3</f>
        <v>#NAME?</v>
      </c>
      <c r="X74" s="18"/>
      <c r="Y74" s="534" t="e">
        <f t="shared" ca="1" si="119"/>
        <v>#REF!</v>
      </c>
      <c r="Z74" s="447" t="e">
        <f t="shared" ca="1" si="120"/>
        <v>#REF!</v>
      </c>
      <c r="AA74" s="18"/>
      <c r="AB74" s="441" t="e">
        <f ca="1">MAX(AB$65:AB$66)+IF($B$2="mil",1,0.0254)*DDR2Specs!$E$3</f>
        <v>#NAME?</v>
      </c>
      <c r="AC74" s="441" t="e">
        <f ca="1">MIN(AB$65:AB$66)+IF($B$2="mil",1,0.0254)*DDR2Specs!$F$3</f>
        <v>#NAME?</v>
      </c>
      <c r="AD74" s="18"/>
      <c r="AE74" s="534" t="e">
        <f t="shared" ca="1" si="105"/>
        <v>#REF!</v>
      </c>
      <c r="AF74" s="447" t="e">
        <f t="shared" ca="1" si="106"/>
        <v>#REF!</v>
      </c>
      <c r="AG74" s="447" t="e">
        <f t="shared" si="107"/>
        <v>#REF!</v>
      </c>
      <c r="AH74" s="447" t="e">
        <f t="shared" si="108"/>
        <v>#REF!</v>
      </c>
      <c r="AI74" s="447" t="e">
        <f t="shared" si="121"/>
        <v>#REF!</v>
      </c>
      <c r="AJ74" s="447" t="e">
        <f t="shared" ca="1" si="109"/>
        <v>#NAME?</v>
      </c>
      <c r="AK74" s="447" t="e">
        <f t="shared" si="122"/>
        <v>#REF!</v>
      </c>
      <c r="AL74" s="447" t="e">
        <f t="shared" si="123"/>
        <v>#REF!</v>
      </c>
      <c r="AM74" s="447" t="e">
        <f t="shared" ca="1" si="124"/>
        <v>#NAME?</v>
      </c>
      <c r="AN74" s="447" t="e">
        <f t="shared" ca="1" si="110"/>
        <v>#NAME?</v>
      </c>
      <c r="AO74" s="447" t="e">
        <f t="shared" si="111"/>
        <v>#REF!</v>
      </c>
      <c r="AP74" s="447" t="e">
        <f t="shared" si="112"/>
        <v>#REF!</v>
      </c>
      <c r="AQ74" s="447" t="e">
        <f t="shared" si="113"/>
        <v>#REF!</v>
      </c>
      <c r="AR74" s="447" t="e">
        <f t="shared" si="114"/>
        <v>#REF!</v>
      </c>
      <c r="AS74" s="18"/>
      <c r="AT74" s="2" t="e">
        <f t="shared" ca="1" si="115"/>
        <v>#REF!</v>
      </c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</row>
    <row r="75" spans="1:62" x14ac:dyDescent="0.2">
      <c r="A75" s="77" t="s">
        <v>221</v>
      </c>
      <c r="B75" s="587" t="s">
        <v>393</v>
      </c>
      <c r="C75" s="584">
        <v>583.81889763779532</v>
      </c>
      <c r="D75" s="16"/>
      <c r="E75" s="17">
        <v>29.7</v>
      </c>
      <c r="F75" s="17">
        <v>0</v>
      </c>
      <c r="G75" s="393">
        <v>2034.76</v>
      </c>
      <c r="H75" s="271">
        <v>64.569999999999993</v>
      </c>
      <c r="I75" s="17">
        <v>0</v>
      </c>
      <c r="J75" s="271">
        <v>49.57</v>
      </c>
      <c r="K75" s="17">
        <v>40</v>
      </c>
      <c r="L75" s="271">
        <v>85.78</v>
      </c>
      <c r="M75" s="271">
        <v>1041.03</v>
      </c>
      <c r="N75" s="271">
        <v>38</v>
      </c>
      <c r="O75" s="58"/>
      <c r="P75" s="441">
        <f t="shared" si="116"/>
        <v>2129.0300000000002</v>
      </c>
      <c r="Q75" s="441">
        <f t="shared" si="117"/>
        <v>3318.84</v>
      </c>
      <c r="R75" s="533"/>
      <c r="S75" s="441" t="e">
        <f t="shared" si="118"/>
        <v>#REF!</v>
      </c>
      <c r="T75" s="441" t="e">
        <f t="shared" si="125"/>
        <v>#REF!</v>
      </c>
      <c r="U75" s="533"/>
      <c r="V75" s="441" t="e">
        <f ca="1">MAX(V$65:V$66)+IF($B$2="mil",1,0.0254)*DDR2Specs!$B$3</f>
        <v>#NAME?</v>
      </c>
      <c r="W75" s="441" t="e">
        <f ca="1">MIN(V$65:V$66)+IF($B$2="mil",1,0.0254)*DDR2Specs!$C$3</f>
        <v>#NAME?</v>
      </c>
      <c r="X75" s="18"/>
      <c r="Y75" s="534" t="e">
        <f t="shared" ca="1" si="119"/>
        <v>#REF!</v>
      </c>
      <c r="Z75" s="447" t="e">
        <f t="shared" ca="1" si="120"/>
        <v>#REF!</v>
      </c>
      <c r="AA75" s="18"/>
      <c r="AB75" s="441" t="e">
        <f ca="1">MAX(AB$65:AB$66)+IF($B$2="mil",1,0.0254)*DDR2Specs!$E$3</f>
        <v>#NAME?</v>
      </c>
      <c r="AC75" s="441" t="e">
        <f ca="1">MIN(AB$65:AB$66)+IF($B$2="mil",1,0.0254)*DDR2Specs!$F$3</f>
        <v>#NAME?</v>
      </c>
      <c r="AD75" s="18"/>
      <c r="AE75" s="534" t="e">
        <f t="shared" ca="1" si="105"/>
        <v>#REF!</v>
      </c>
      <c r="AF75" s="447" t="e">
        <f t="shared" ca="1" si="106"/>
        <v>#REF!</v>
      </c>
      <c r="AG75" s="447" t="e">
        <f t="shared" si="107"/>
        <v>#REF!</v>
      </c>
      <c r="AH75" s="447" t="e">
        <f t="shared" si="108"/>
        <v>#REF!</v>
      </c>
      <c r="AI75" s="447" t="e">
        <f t="shared" si="121"/>
        <v>#REF!</v>
      </c>
      <c r="AJ75" s="447" t="e">
        <f t="shared" ca="1" si="109"/>
        <v>#NAME?</v>
      </c>
      <c r="AK75" s="447" t="e">
        <f t="shared" si="122"/>
        <v>#REF!</v>
      </c>
      <c r="AL75" s="447" t="e">
        <f t="shared" si="123"/>
        <v>#REF!</v>
      </c>
      <c r="AM75" s="447" t="e">
        <f t="shared" ca="1" si="124"/>
        <v>#NAME?</v>
      </c>
      <c r="AN75" s="447" t="e">
        <f t="shared" ca="1" si="110"/>
        <v>#NAME?</v>
      </c>
      <c r="AO75" s="447" t="e">
        <f t="shared" si="111"/>
        <v>#REF!</v>
      </c>
      <c r="AP75" s="447" t="e">
        <f t="shared" si="112"/>
        <v>#REF!</v>
      </c>
      <c r="AQ75" s="447" t="e">
        <f t="shared" si="113"/>
        <v>#REF!</v>
      </c>
      <c r="AR75" s="447" t="e">
        <f t="shared" si="114"/>
        <v>#REF!</v>
      </c>
      <c r="AS75" s="18"/>
      <c r="AT75" s="2" t="e">
        <f t="shared" ca="1" si="115"/>
        <v>#REF!</v>
      </c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</row>
    <row r="76" spans="1:62" x14ac:dyDescent="0.2">
      <c r="A76" s="6" t="s">
        <v>251</v>
      </c>
      <c r="B76" s="588"/>
      <c r="C76" s="585"/>
      <c r="D76" s="51"/>
      <c r="E76" s="68"/>
      <c r="F76" s="68"/>
      <c r="G76" s="394"/>
      <c r="H76" s="265"/>
      <c r="I76" s="265"/>
      <c r="J76" s="265"/>
      <c r="K76" s="265"/>
      <c r="L76" s="265"/>
      <c r="M76" s="265"/>
      <c r="N76" s="265"/>
      <c r="O76" s="8"/>
      <c r="P76" s="68"/>
      <c r="Q76" s="68"/>
      <c r="R76" s="68"/>
      <c r="S76" s="539"/>
      <c r="T76" s="539"/>
      <c r="U76" s="539"/>
      <c r="V76" s="539"/>
      <c r="W76" s="540"/>
      <c r="X76" s="540"/>
      <c r="Y76" s="541"/>
      <c r="Z76" s="15"/>
      <c r="AA76" s="540"/>
      <c r="AB76" s="539"/>
      <c r="AC76" s="540"/>
      <c r="AD76" s="540"/>
      <c r="AE76" s="541"/>
      <c r="AF76" s="15"/>
      <c r="AG76" s="15"/>
      <c r="AH76" s="15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69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</row>
    <row r="77" spans="1:62" x14ac:dyDescent="0.2">
      <c r="A77" s="43" t="str">
        <f>'DDR2 Strobes - 1x16'!$A$28</f>
        <v>SA_DQS6</v>
      </c>
      <c r="B77" s="597" t="str">
        <f>'DDR2 Strobes - 1x16'!$B$28</f>
        <v>AB14</v>
      </c>
      <c r="C77" s="586"/>
      <c r="D77" s="44"/>
      <c r="E77" s="67"/>
      <c r="F77" s="67"/>
      <c r="G77" s="395"/>
      <c r="H77" s="266"/>
      <c r="I77" s="266"/>
      <c r="J77" s="266"/>
      <c r="K77" s="266"/>
      <c r="L77" s="266"/>
      <c r="M77" s="266"/>
      <c r="N77" s="266"/>
      <c r="O77" s="67"/>
      <c r="P77" s="67"/>
      <c r="Q77" s="67"/>
      <c r="R77" s="67"/>
      <c r="S77" s="48"/>
      <c r="T77" s="48"/>
      <c r="U77" s="48"/>
      <c r="V77" s="48" t="e">
        <f ca="1">GetSODIMMStrbLen($A77)</f>
        <v>#NAME?</v>
      </c>
      <c r="W77" s="48"/>
      <c r="X77" s="48"/>
      <c r="Y77" s="48"/>
      <c r="Z77" s="542"/>
      <c r="AA77" s="549" t="e">
        <f>"Strobe Pair to " &amp;#REF!</f>
        <v>#REF!</v>
      </c>
      <c r="AB77" s="48" t="e">
        <f ca="1">GetStrbLen(#REF!, "P")</f>
        <v>#NAME?</v>
      </c>
      <c r="AC77" s="48"/>
      <c r="AD77" s="48"/>
      <c r="AE77" s="48"/>
      <c r="AF77" s="542"/>
      <c r="AG77" s="542"/>
      <c r="AH77" s="542"/>
      <c r="AI77" s="542"/>
      <c r="AJ77" s="542"/>
      <c r="AK77" s="542"/>
      <c r="AL77" s="542"/>
      <c r="AM77" s="542"/>
      <c r="AN77" s="542"/>
      <c r="AO77" s="542"/>
      <c r="AP77" s="542"/>
      <c r="AQ77" s="542"/>
      <c r="AR77" s="542"/>
      <c r="AS77" s="48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</row>
    <row r="78" spans="1:62" x14ac:dyDescent="0.2">
      <c r="A78" s="43" t="str">
        <f>'DDR2 Strobes - 1x16'!$A$29</f>
        <v>SA_DQS6#</v>
      </c>
      <c r="B78" s="597" t="str">
        <f>'DDR2 Strobes - 1x16'!$B$29</f>
        <v>AB13</v>
      </c>
      <c r="C78" s="586"/>
      <c r="D78" s="44"/>
      <c r="E78" s="67"/>
      <c r="F78" s="67"/>
      <c r="G78" s="395"/>
      <c r="H78" s="266"/>
      <c r="I78" s="266"/>
      <c r="J78" s="266"/>
      <c r="K78" s="266"/>
      <c r="L78" s="266"/>
      <c r="M78" s="266"/>
      <c r="N78" s="266"/>
      <c r="O78" s="67"/>
      <c r="P78" s="67"/>
      <c r="Q78" s="536"/>
      <c r="R78" s="536"/>
      <c r="S78" s="537"/>
      <c r="T78" s="537"/>
      <c r="U78" s="48"/>
      <c r="V78" s="48" t="e">
        <f ca="1">GetSODIMMStrbLen($A78)</f>
        <v>#NAME?</v>
      </c>
      <c r="W78" s="48"/>
      <c r="X78" s="48"/>
      <c r="Y78" s="48"/>
      <c r="Z78" s="542"/>
      <c r="AA78" s="550" t="e">
        <f>"Strobe Pair to " &amp;#REF!</f>
        <v>#REF!</v>
      </c>
      <c r="AB78" s="48" t="e">
        <f ca="1">GetStrbLen(#REF!, "N")</f>
        <v>#NAME?</v>
      </c>
      <c r="AC78" s="48"/>
      <c r="AD78" s="48"/>
      <c r="AE78" s="48"/>
      <c r="AF78" s="542"/>
      <c r="AG78" s="542"/>
      <c r="AH78" s="542"/>
      <c r="AI78" s="543"/>
      <c r="AJ78" s="543"/>
      <c r="AK78" s="543"/>
      <c r="AL78" s="543"/>
      <c r="AM78" s="543"/>
      <c r="AN78" s="543"/>
      <c r="AO78" s="543"/>
      <c r="AP78" s="543"/>
      <c r="AQ78" s="543"/>
      <c r="AR78" s="543"/>
      <c r="AS78" s="48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</row>
    <row r="79" spans="1:62" x14ac:dyDescent="0.2">
      <c r="A79" s="77" t="s">
        <v>222</v>
      </c>
      <c r="B79" s="587" t="s">
        <v>159</v>
      </c>
      <c r="C79" s="584">
        <v>846.81102362204729</v>
      </c>
      <c r="D79" s="16"/>
      <c r="E79" s="17">
        <v>29.7</v>
      </c>
      <c r="F79" s="17">
        <v>0</v>
      </c>
      <c r="G79" s="393">
        <v>1546.4029133858271</v>
      </c>
      <c r="H79" s="271">
        <v>71.39</v>
      </c>
      <c r="I79" s="17">
        <v>0</v>
      </c>
      <c r="J79" s="271">
        <v>56.33</v>
      </c>
      <c r="K79" s="17">
        <v>40</v>
      </c>
      <c r="L79" s="271">
        <v>50.78</v>
      </c>
      <c r="M79" s="271">
        <v>1053.45</v>
      </c>
      <c r="N79" s="271">
        <v>75.67</v>
      </c>
      <c r="O79" s="58"/>
      <c r="P79" s="441">
        <f xml:space="preserve"> E79+F79+G79+H79</f>
        <v>1647.4929133858273</v>
      </c>
      <c r="Q79" s="441">
        <f>SUM(E79:G79,I79:N79)</f>
        <v>2852.3329133858269</v>
      </c>
      <c r="R79" s="533"/>
      <c r="S79" s="441" t="e">
        <f>P79+IF($B$2="mil",1,0.0254)*C79</f>
        <v>#REF!</v>
      </c>
      <c r="T79" s="441" t="e">
        <f t="shared" ref="T79:T87" si="126">Q79+IF($B$2="mil",1,0.0254)*$C79</f>
        <v>#REF!</v>
      </c>
      <c r="U79" s="533"/>
      <c r="V79" s="441" t="e">
        <f ca="1">MAX(V$77:V$78)+IF($B$2="mil",1,0.0254)*DDR2Specs!$B$3</f>
        <v>#NAME?</v>
      </c>
      <c r="W79" s="441" t="e">
        <f ca="1">MIN(V$77:V$78)+IF($B$2="mil",1,0.0254)*DDR2Specs!$C$3</f>
        <v>#NAME?</v>
      </c>
      <c r="X79" s="18"/>
      <c r="Y79" s="534" t="e">
        <f ca="1">IF($S79&lt;$V79,$V79-$S79,"Pass")</f>
        <v>#REF!</v>
      </c>
      <c r="Z79" s="447" t="e">
        <f ca="1">IF($S79&gt;$W79,$S79-$W79,"Pass")</f>
        <v>#REF!</v>
      </c>
      <c r="AA79" s="18"/>
      <c r="AB79" s="441" t="e">
        <f ca="1">MAX(AB$77:AB$78)+IF($B$2="mil",1,0.0254)*DDR2Specs!$E$3</f>
        <v>#NAME?</v>
      </c>
      <c r="AC79" s="441" t="e">
        <f ca="1">MIN(AB$77:AB$78)+IF($B$2="mil",1,0.0254)*DDR2Specs!$F$3</f>
        <v>#NAME?</v>
      </c>
      <c r="AD79" s="18"/>
      <c r="AE79" s="534" t="e">
        <f t="shared" ref="AE79:AE87" ca="1" si="127">IF($T79&lt;$AB79,$AB79-$T79,"Pass")</f>
        <v>#REF!</v>
      </c>
      <c r="AF79" s="447" t="e">
        <f t="shared" ref="AF79:AF87" ca="1" si="128">IF($T79&gt;$AC79,$T79-$AC79,"Pass")</f>
        <v>#REF!</v>
      </c>
      <c r="AG79" s="447" t="e">
        <f t="shared" ref="AG79:AG87" si="129">IF($E79&lt;=IF($B$2="mil",1,0.0254)*50,"Pass",IF($B$2="mil",1,0.0254)*50-$E79)</f>
        <v>#REF!</v>
      </c>
      <c r="AH79" s="447" t="e">
        <f t="shared" ref="AH79:AH87" si="130">IF($F79&lt;=IF($B$2="mil",1,0.0254)*500,"Pass",IF($B$2="mil",1,0.0254)*500-$F79)</f>
        <v>#REF!</v>
      </c>
      <c r="AI79" s="447" t="e">
        <f>IF($H79&lt;=IF($B$2="mil",1,0.0254)*250,"Pass",IF($B$2="mil",1,0.0254)*250-$H79)</f>
        <v>#REF!</v>
      </c>
      <c r="AJ79" s="447" t="e">
        <f t="shared" ref="AJ79:AJ87" ca="1" si="131">CheckLength(IF($B$2="mil",1,0.0254)*1000, IF($B$2="mil",1,0.0254)*125-J79, 0, I79,J79,0)</f>
        <v>#NAME?</v>
      </c>
      <c r="AK79" s="447" t="e">
        <f>IF($J79&lt;=IF($B$2="mil",1,0.0254)*125,"Pass",IF($B$2="mil",1,0.0254)*125-$J79)</f>
        <v>#REF!</v>
      </c>
      <c r="AL79" s="447" t="e">
        <f>IF($L79&lt;=IF($B$2="mil",1,0.0254)*125,"Pass",IF($B$2="mil",1,0.0254)*125-$L79)</f>
        <v>#REF!</v>
      </c>
      <c r="AM79" s="447" t="e">
        <f ca="1">CheckLength(IF($B$2="mil",1,0.0254)*1250, IF($B$2="mil",1,0.0254)*125-L79, IF($B$2="mil",1,0.0254)*150-N79, M79,L79,N79)</f>
        <v>#NAME?</v>
      </c>
      <c r="AN79" s="447" t="e">
        <f t="shared" ref="AN79:AN87" ca="1" si="132">CheckLength2(IF($B$2="mil",1,0.0254)*1400,M79,N79,0)</f>
        <v>#NAME?</v>
      </c>
      <c r="AO79" s="447" t="e">
        <f t="shared" ref="AO79:AO87" si="133">IF(AND($P79&gt;=IF($B$2="mil",1,0.0254)*500, $P79&lt;=IF($B$2="mil",1,0.0254)*4000),"Pass",IF($B$2="mil",1,0.0254)*4000-$P79)</f>
        <v>#REF!</v>
      </c>
      <c r="AP79" s="447" t="e">
        <f t="shared" ref="AP79:AP87" si="134">IF(AND($S79&gt;=IF($B$2="mil",1,0.0254)*500, $S79&lt;=IF($B$2="mil",1,0.0254)*4500),"Pass",IF($B$2="mil",1,0.0254)*4500-$S79)</f>
        <v>#REF!</v>
      </c>
      <c r="AQ79" s="447" t="e">
        <f t="shared" ref="AQ79:AQ87" si="135">IF(AND($Q79&gt;=IF($B$2="mil",1,0.0254)*500, $Q79&lt;=IF($B$2="mil",1,0.0254)*5500),"Pass",IF($B$2="mil",1,0.0254)*5500-$Q79)</f>
        <v>#REF!</v>
      </c>
      <c r="AR79" s="447" t="e">
        <f t="shared" ref="AR79:AR87" si="136">IF(AND($T79&gt;=IF($B$2="mil",1,0.0254)*500, $T79&lt;=IF($B$2="mil",1,0.0254)*6000),"Pass",IF($B$2="mil",1,0.0254)*6000-$T79)</f>
        <v>#REF!</v>
      </c>
      <c r="AS79" s="18"/>
      <c r="AT79" s="2" t="e">
        <f t="shared" ref="AT79:AT87" ca="1" si="137">IF(AND(AG79="Pass",AP79="Pass",AI79="Pass",AH79="Pass",AO79="Pass",Y79="Pass",Z79="Pass",AN79="Pass",AM79="Pass",AL79="Pass",AK79="Pass",AJ79="Pass",AE79="Pass",AF79="Pass",AQ79="Pass",AR79="Pass"),"Pass","Fail")</f>
        <v>#REF!</v>
      </c>
      <c r="AU79" s="2" t="e">
        <f ca="1">IF(AND(AT79="Pass",AT80="Pass",AT81="Pass",AT82="Pass",AT83="Pass",AT84="Pass",AT85="Pass",AT86="Pass",AT87="Pass"),"Pass","Fail")</f>
        <v>#REF!</v>
      </c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</row>
    <row r="80" spans="1:62" x14ac:dyDescent="0.2">
      <c r="A80" s="77" t="s">
        <v>223</v>
      </c>
      <c r="B80" s="587" t="s">
        <v>418</v>
      </c>
      <c r="C80" s="584">
        <v>749.48818897637796</v>
      </c>
      <c r="D80" s="16"/>
      <c r="E80" s="17">
        <v>29.7</v>
      </c>
      <c r="F80" s="17">
        <v>0</v>
      </c>
      <c r="G80" s="393">
        <v>1496.1121259842521</v>
      </c>
      <c r="H80" s="271">
        <v>107.98</v>
      </c>
      <c r="I80" s="17">
        <v>0</v>
      </c>
      <c r="J80" s="271">
        <v>99.62</v>
      </c>
      <c r="K80" s="17">
        <v>40</v>
      </c>
      <c r="L80" s="271">
        <v>46.81</v>
      </c>
      <c r="M80" s="271">
        <v>1050.54</v>
      </c>
      <c r="N80" s="271">
        <v>75.849999999999994</v>
      </c>
      <c r="O80" s="58"/>
      <c r="P80" s="441">
        <f t="shared" ref="P80:P87" si="138" xml:space="preserve"> E80+F80+G80+H80</f>
        <v>1633.7921259842522</v>
      </c>
      <c r="Q80" s="441">
        <f t="shared" ref="Q80:Q87" si="139">SUM(E80:G80,I80:N80)</f>
        <v>2838.6321259842521</v>
      </c>
      <c r="R80" s="533"/>
      <c r="S80" s="441" t="e">
        <f t="shared" ref="S80:S87" si="140">P80+IF($B$2="mil",1,0.0254)*C80</f>
        <v>#REF!</v>
      </c>
      <c r="T80" s="441" t="e">
        <f t="shared" si="126"/>
        <v>#REF!</v>
      </c>
      <c r="U80" s="533"/>
      <c r="V80" s="441" t="e">
        <f ca="1">MAX(V$77:V$78)+IF($B$2="mil",1,0.0254)*DDR2Specs!$B$3</f>
        <v>#NAME?</v>
      </c>
      <c r="W80" s="441" t="e">
        <f ca="1">MIN(V$77:V$78)+IF($B$2="mil",1,0.0254)*DDR2Specs!$C$3</f>
        <v>#NAME?</v>
      </c>
      <c r="X80" s="18"/>
      <c r="Y80" s="534" t="e">
        <f t="shared" ref="Y80:Y87" ca="1" si="141">IF($S80&lt;$V80,$V80-$S80,"Pass")</f>
        <v>#REF!</v>
      </c>
      <c r="Z80" s="447" t="e">
        <f t="shared" ref="Z80:Z87" ca="1" si="142">IF($S80&gt;$W80,$S80-$W80,"Pass")</f>
        <v>#REF!</v>
      </c>
      <c r="AA80" s="18"/>
      <c r="AB80" s="441" t="e">
        <f ca="1">MAX(AB$77:AB$78)+IF($B$2="mil",1,0.0254)*DDR2Specs!$E$3</f>
        <v>#NAME?</v>
      </c>
      <c r="AC80" s="441" t="e">
        <f ca="1">MIN(AB$77:AB$78)+IF($B$2="mil",1,0.0254)*DDR2Specs!$F$3</f>
        <v>#NAME?</v>
      </c>
      <c r="AD80" s="18"/>
      <c r="AE80" s="534" t="e">
        <f t="shared" ca="1" si="127"/>
        <v>#REF!</v>
      </c>
      <c r="AF80" s="447" t="e">
        <f t="shared" ca="1" si="128"/>
        <v>#REF!</v>
      </c>
      <c r="AG80" s="447" t="e">
        <f t="shared" si="129"/>
        <v>#REF!</v>
      </c>
      <c r="AH80" s="447" t="e">
        <f t="shared" si="130"/>
        <v>#REF!</v>
      </c>
      <c r="AI80" s="447" t="e">
        <f t="shared" ref="AI80:AI87" si="143">IF($H80&lt;=IF($B$2="mil",1,0.0254)*250,"Pass",IF($B$2="mil",1,0.0254)*250-$H80)</f>
        <v>#REF!</v>
      </c>
      <c r="AJ80" s="447" t="e">
        <f t="shared" ca="1" si="131"/>
        <v>#NAME?</v>
      </c>
      <c r="AK80" s="447" t="e">
        <f t="shared" ref="AK80:AK87" si="144">IF($J80&lt;=IF($B$2="mil",1,0.0254)*125,"Pass",IF($B$2="mil",1,0.0254)*125-$J80)</f>
        <v>#REF!</v>
      </c>
      <c r="AL80" s="447" t="e">
        <f t="shared" ref="AL80:AL87" si="145">IF($L80&lt;=IF($B$2="mil",1,0.0254)*125,"Pass",IF($B$2="mil",1,0.0254)*125-$L80)</f>
        <v>#REF!</v>
      </c>
      <c r="AM80" s="447" t="e">
        <f t="shared" ref="AM80:AM87" ca="1" si="146">CheckLength(IF($B$2="mil",1,0.0254)*1250, IF($B$2="mil",1,0.0254)*125-L80, IF($B$2="mil",1,0.0254)*150-N80, M80,L80,N80)</f>
        <v>#NAME?</v>
      </c>
      <c r="AN80" s="447" t="e">
        <f t="shared" ca="1" si="132"/>
        <v>#NAME?</v>
      </c>
      <c r="AO80" s="447" t="e">
        <f t="shared" si="133"/>
        <v>#REF!</v>
      </c>
      <c r="AP80" s="447" t="e">
        <f t="shared" si="134"/>
        <v>#REF!</v>
      </c>
      <c r="AQ80" s="447" t="e">
        <f t="shared" si="135"/>
        <v>#REF!</v>
      </c>
      <c r="AR80" s="447" t="e">
        <f t="shared" si="136"/>
        <v>#REF!</v>
      </c>
      <c r="AS80" s="18"/>
      <c r="AT80" s="2" t="e">
        <f t="shared" ca="1" si="137"/>
        <v>#REF!</v>
      </c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</row>
    <row r="81" spans="1:62" x14ac:dyDescent="0.2">
      <c r="A81" s="77" t="s">
        <v>224</v>
      </c>
      <c r="B81" s="587" t="s">
        <v>160</v>
      </c>
      <c r="C81" s="584">
        <v>668.97637795275591</v>
      </c>
      <c r="D81" s="16"/>
      <c r="E81" s="17">
        <v>29.7</v>
      </c>
      <c r="F81" s="17">
        <v>0</v>
      </c>
      <c r="G81" s="393">
        <v>1708.6048818897643</v>
      </c>
      <c r="H81" s="271">
        <v>68.44</v>
      </c>
      <c r="I81" s="17">
        <v>0</v>
      </c>
      <c r="J81" s="271">
        <v>51.64</v>
      </c>
      <c r="K81" s="17">
        <v>40</v>
      </c>
      <c r="L81" s="271">
        <v>52.03</v>
      </c>
      <c r="M81" s="271">
        <v>1098.0999999999999</v>
      </c>
      <c r="N81" s="271">
        <v>31.51</v>
      </c>
      <c r="O81" s="58"/>
      <c r="P81" s="441">
        <f t="shared" si="138"/>
        <v>1806.7448818897644</v>
      </c>
      <c r="Q81" s="441">
        <f t="shared" si="139"/>
        <v>3011.5848818897648</v>
      </c>
      <c r="R81" s="533"/>
      <c r="S81" s="441" t="e">
        <f t="shared" si="140"/>
        <v>#REF!</v>
      </c>
      <c r="T81" s="441" t="e">
        <f t="shared" si="126"/>
        <v>#REF!</v>
      </c>
      <c r="U81" s="533"/>
      <c r="V81" s="441" t="e">
        <f ca="1">MAX(V$77:V$78)+IF($B$2="mil",1,0.0254)*DDR2Specs!$B$3</f>
        <v>#NAME?</v>
      </c>
      <c r="W81" s="441" t="e">
        <f ca="1">MIN(V$77:V$78)+IF($B$2="mil",1,0.0254)*DDR2Specs!$C$3</f>
        <v>#NAME?</v>
      </c>
      <c r="X81" s="18"/>
      <c r="Y81" s="534" t="e">
        <f t="shared" ca="1" si="141"/>
        <v>#REF!</v>
      </c>
      <c r="Z81" s="447" t="e">
        <f t="shared" ca="1" si="142"/>
        <v>#REF!</v>
      </c>
      <c r="AA81" s="18"/>
      <c r="AB81" s="441" t="e">
        <f ca="1">MAX(AB$77:AB$78)+IF($B$2="mil",1,0.0254)*DDR2Specs!$E$3</f>
        <v>#NAME?</v>
      </c>
      <c r="AC81" s="441" t="e">
        <f ca="1">MIN(AB$77:AB$78)+IF($B$2="mil",1,0.0254)*DDR2Specs!$F$3</f>
        <v>#NAME?</v>
      </c>
      <c r="AD81" s="18"/>
      <c r="AE81" s="534" t="e">
        <f t="shared" ca="1" si="127"/>
        <v>#REF!</v>
      </c>
      <c r="AF81" s="447" t="e">
        <f t="shared" ca="1" si="128"/>
        <v>#REF!</v>
      </c>
      <c r="AG81" s="447" t="e">
        <f t="shared" si="129"/>
        <v>#REF!</v>
      </c>
      <c r="AH81" s="447" t="e">
        <f t="shared" si="130"/>
        <v>#REF!</v>
      </c>
      <c r="AI81" s="447" t="e">
        <f t="shared" si="143"/>
        <v>#REF!</v>
      </c>
      <c r="AJ81" s="447" t="e">
        <f t="shared" ca="1" si="131"/>
        <v>#NAME?</v>
      </c>
      <c r="AK81" s="447" t="e">
        <f t="shared" si="144"/>
        <v>#REF!</v>
      </c>
      <c r="AL81" s="447" t="e">
        <f t="shared" si="145"/>
        <v>#REF!</v>
      </c>
      <c r="AM81" s="447" t="e">
        <f t="shared" ca="1" si="146"/>
        <v>#NAME?</v>
      </c>
      <c r="AN81" s="447" t="e">
        <f t="shared" ca="1" si="132"/>
        <v>#NAME?</v>
      </c>
      <c r="AO81" s="447" t="e">
        <f t="shared" si="133"/>
        <v>#REF!</v>
      </c>
      <c r="AP81" s="447" t="e">
        <f t="shared" si="134"/>
        <v>#REF!</v>
      </c>
      <c r="AQ81" s="447" t="e">
        <f t="shared" si="135"/>
        <v>#REF!</v>
      </c>
      <c r="AR81" s="447" t="e">
        <f t="shared" si="136"/>
        <v>#REF!</v>
      </c>
      <c r="AS81" s="18"/>
      <c r="AT81" s="2" t="e">
        <f t="shared" ca="1" si="137"/>
        <v>#REF!</v>
      </c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</row>
    <row r="82" spans="1:62" x14ac:dyDescent="0.2">
      <c r="A82" s="77" t="s">
        <v>225</v>
      </c>
      <c r="B82" s="587" t="s">
        <v>164</v>
      </c>
      <c r="C82" s="584">
        <v>678.50393700787413</v>
      </c>
      <c r="D82" s="16"/>
      <c r="E82" s="17">
        <v>29.7</v>
      </c>
      <c r="F82" s="17">
        <v>0</v>
      </c>
      <c r="G82" s="393">
        <v>1632.4204724409449</v>
      </c>
      <c r="H82" s="271">
        <v>109.9</v>
      </c>
      <c r="I82" s="17">
        <v>0</v>
      </c>
      <c r="J82" s="271">
        <v>90.78</v>
      </c>
      <c r="K82" s="17">
        <v>40</v>
      </c>
      <c r="L82" s="271">
        <v>87.86</v>
      </c>
      <c r="M82" s="271">
        <v>1064.6099999999999</v>
      </c>
      <c r="N82" s="271">
        <v>31.49</v>
      </c>
      <c r="O82" s="58"/>
      <c r="P82" s="441">
        <f t="shared" si="138"/>
        <v>1772.020472440945</v>
      </c>
      <c r="Q82" s="441">
        <f t="shared" si="139"/>
        <v>2976.8604724409442</v>
      </c>
      <c r="R82" s="533"/>
      <c r="S82" s="441" t="e">
        <f t="shared" si="140"/>
        <v>#REF!</v>
      </c>
      <c r="T82" s="441" t="e">
        <f t="shared" si="126"/>
        <v>#REF!</v>
      </c>
      <c r="U82" s="533"/>
      <c r="V82" s="441" t="e">
        <f ca="1">MAX(V$77:V$78)+IF($B$2="mil",1,0.0254)*DDR2Specs!$B$3</f>
        <v>#NAME?</v>
      </c>
      <c r="W82" s="441" t="e">
        <f ca="1">MIN(V$77:V$78)+IF($B$2="mil",1,0.0254)*DDR2Specs!$C$3</f>
        <v>#NAME?</v>
      </c>
      <c r="X82" s="18"/>
      <c r="Y82" s="534" t="e">
        <f t="shared" ca="1" si="141"/>
        <v>#REF!</v>
      </c>
      <c r="Z82" s="447" t="e">
        <f t="shared" ca="1" si="142"/>
        <v>#REF!</v>
      </c>
      <c r="AA82" s="18"/>
      <c r="AB82" s="441" t="e">
        <f ca="1">MAX(AB$77:AB$78)+IF($B$2="mil",1,0.0254)*DDR2Specs!$E$3</f>
        <v>#NAME?</v>
      </c>
      <c r="AC82" s="441" t="e">
        <f ca="1">MIN(AB$77:AB$78)+IF($B$2="mil",1,0.0254)*DDR2Specs!$F$3</f>
        <v>#NAME?</v>
      </c>
      <c r="AD82" s="18"/>
      <c r="AE82" s="534" t="e">
        <f t="shared" ca="1" si="127"/>
        <v>#REF!</v>
      </c>
      <c r="AF82" s="447" t="e">
        <f t="shared" ca="1" si="128"/>
        <v>#REF!</v>
      </c>
      <c r="AG82" s="447" t="e">
        <f t="shared" si="129"/>
        <v>#REF!</v>
      </c>
      <c r="AH82" s="447" t="e">
        <f t="shared" si="130"/>
        <v>#REF!</v>
      </c>
      <c r="AI82" s="447" t="e">
        <f t="shared" si="143"/>
        <v>#REF!</v>
      </c>
      <c r="AJ82" s="447" t="e">
        <f t="shared" ca="1" si="131"/>
        <v>#NAME?</v>
      </c>
      <c r="AK82" s="447" t="e">
        <f t="shared" si="144"/>
        <v>#REF!</v>
      </c>
      <c r="AL82" s="447" t="e">
        <f t="shared" si="145"/>
        <v>#REF!</v>
      </c>
      <c r="AM82" s="447" t="e">
        <f t="shared" ca="1" si="146"/>
        <v>#NAME?</v>
      </c>
      <c r="AN82" s="447" t="e">
        <f t="shared" ca="1" si="132"/>
        <v>#NAME?</v>
      </c>
      <c r="AO82" s="447" t="e">
        <f t="shared" si="133"/>
        <v>#REF!</v>
      </c>
      <c r="AP82" s="447" t="e">
        <f t="shared" si="134"/>
        <v>#REF!</v>
      </c>
      <c r="AQ82" s="447" t="e">
        <f t="shared" si="135"/>
        <v>#REF!</v>
      </c>
      <c r="AR82" s="447" t="e">
        <f t="shared" si="136"/>
        <v>#REF!</v>
      </c>
      <c r="AS82" s="18"/>
      <c r="AT82" s="2" t="e">
        <f t="shared" ca="1" si="137"/>
        <v>#REF!</v>
      </c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</row>
    <row r="83" spans="1:62" x14ac:dyDescent="0.2">
      <c r="A83" s="77" t="s">
        <v>226</v>
      </c>
      <c r="B83" s="587" t="s">
        <v>419</v>
      </c>
      <c r="C83" s="584">
        <v>794.01574803149606</v>
      </c>
      <c r="D83" s="16"/>
      <c r="E83" s="17">
        <v>29.7</v>
      </c>
      <c r="F83" s="17">
        <v>0</v>
      </c>
      <c r="G83" s="393">
        <v>1634.8662992125981</v>
      </c>
      <c r="H83" s="271">
        <v>75.84</v>
      </c>
      <c r="I83" s="17">
        <v>0</v>
      </c>
      <c r="J83" s="271">
        <v>57.88</v>
      </c>
      <c r="K83" s="17">
        <v>40</v>
      </c>
      <c r="L83" s="271">
        <v>89.93</v>
      </c>
      <c r="M83" s="271">
        <v>1018.87</v>
      </c>
      <c r="N83" s="271">
        <v>74</v>
      </c>
      <c r="O83" s="58"/>
      <c r="P83" s="441">
        <f t="shared" si="138"/>
        <v>1740.406299212598</v>
      </c>
      <c r="Q83" s="441">
        <f t="shared" si="139"/>
        <v>2945.2462992125984</v>
      </c>
      <c r="R83" s="533"/>
      <c r="S83" s="441" t="e">
        <f t="shared" si="140"/>
        <v>#REF!</v>
      </c>
      <c r="T83" s="441" t="e">
        <f t="shared" si="126"/>
        <v>#REF!</v>
      </c>
      <c r="U83" s="533"/>
      <c r="V83" s="441" t="e">
        <f ca="1">MAX(V$77:V$78)+IF($B$2="mil",1,0.0254)*DDR2Specs!$B$3</f>
        <v>#NAME?</v>
      </c>
      <c r="W83" s="441" t="e">
        <f ca="1">MIN(V$77:V$78)+IF($B$2="mil",1,0.0254)*DDR2Specs!$C$3</f>
        <v>#NAME?</v>
      </c>
      <c r="X83" s="18"/>
      <c r="Y83" s="534" t="e">
        <f t="shared" ca="1" si="141"/>
        <v>#REF!</v>
      </c>
      <c r="Z83" s="447" t="e">
        <f t="shared" ca="1" si="142"/>
        <v>#REF!</v>
      </c>
      <c r="AA83" s="18"/>
      <c r="AB83" s="441" t="e">
        <f ca="1">MAX(AB$77:AB$78)+IF($B$2="mil",1,0.0254)*DDR2Specs!$E$3</f>
        <v>#NAME?</v>
      </c>
      <c r="AC83" s="441" t="e">
        <f ca="1">MIN(AB$77:AB$78)+IF($B$2="mil",1,0.0254)*DDR2Specs!$F$3</f>
        <v>#NAME?</v>
      </c>
      <c r="AD83" s="18"/>
      <c r="AE83" s="534" t="e">
        <f t="shared" ca="1" si="127"/>
        <v>#REF!</v>
      </c>
      <c r="AF83" s="447" t="e">
        <f t="shared" ca="1" si="128"/>
        <v>#REF!</v>
      </c>
      <c r="AG83" s="447" t="e">
        <f t="shared" si="129"/>
        <v>#REF!</v>
      </c>
      <c r="AH83" s="447" t="e">
        <f t="shared" si="130"/>
        <v>#REF!</v>
      </c>
      <c r="AI83" s="447" t="e">
        <f t="shared" si="143"/>
        <v>#REF!</v>
      </c>
      <c r="AJ83" s="447" t="e">
        <f t="shared" ca="1" si="131"/>
        <v>#NAME?</v>
      </c>
      <c r="AK83" s="447" t="e">
        <f t="shared" si="144"/>
        <v>#REF!</v>
      </c>
      <c r="AL83" s="447" t="e">
        <f t="shared" si="145"/>
        <v>#REF!</v>
      </c>
      <c r="AM83" s="447" t="e">
        <f t="shared" ca="1" si="146"/>
        <v>#NAME?</v>
      </c>
      <c r="AN83" s="447" t="e">
        <f t="shared" ca="1" si="132"/>
        <v>#NAME?</v>
      </c>
      <c r="AO83" s="447" t="e">
        <f t="shared" si="133"/>
        <v>#REF!</v>
      </c>
      <c r="AP83" s="447" t="e">
        <f t="shared" si="134"/>
        <v>#REF!</v>
      </c>
      <c r="AQ83" s="447" t="e">
        <f t="shared" si="135"/>
        <v>#REF!</v>
      </c>
      <c r="AR83" s="447" t="e">
        <f t="shared" si="136"/>
        <v>#REF!</v>
      </c>
      <c r="AS83" s="18"/>
      <c r="AT83" s="2" t="e">
        <f t="shared" ca="1" si="137"/>
        <v>#REF!</v>
      </c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</row>
    <row r="84" spans="1:62" x14ac:dyDescent="0.2">
      <c r="A84" s="77" t="s">
        <v>227</v>
      </c>
      <c r="B84" s="587" t="s">
        <v>420</v>
      </c>
      <c r="C84" s="584">
        <v>766.88976377952758</v>
      </c>
      <c r="D84" s="16"/>
      <c r="E84" s="17">
        <v>29.7</v>
      </c>
      <c r="F84" s="17">
        <v>0</v>
      </c>
      <c r="G84" s="393">
        <v>1612.4123622047243</v>
      </c>
      <c r="H84" s="271">
        <v>114.79</v>
      </c>
      <c r="I84" s="17">
        <v>0</v>
      </c>
      <c r="J84" s="271">
        <v>105.62</v>
      </c>
      <c r="K84" s="17">
        <v>40</v>
      </c>
      <c r="L84" s="271">
        <v>89.93</v>
      </c>
      <c r="M84" s="271">
        <v>1008.12</v>
      </c>
      <c r="N84" s="271">
        <v>75.959999999999994</v>
      </c>
      <c r="O84" s="58"/>
      <c r="P84" s="441">
        <f t="shared" si="138"/>
        <v>1756.9023622047243</v>
      </c>
      <c r="Q84" s="441">
        <f t="shared" si="139"/>
        <v>2961.7423622047245</v>
      </c>
      <c r="R84" s="533"/>
      <c r="S84" s="441" t="e">
        <f t="shared" si="140"/>
        <v>#REF!</v>
      </c>
      <c r="T84" s="441" t="e">
        <f t="shared" si="126"/>
        <v>#REF!</v>
      </c>
      <c r="U84" s="533"/>
      <c r="V84" s="441" t="e">
        <f ca="1">MAX(V$77:V$78)+IF($B$2="mil",1,0.0254)*DDR2Specs!$B$3</f>
        <v>#NAME?</v>
      </c>
      <c r="W84" s="441" t="e">
        <f ca="1">MIN(V$77:V$78)+IF($B$2="mil",1,0.0254)*DDR2Specs!$C$3</f>
        <v>#NAME?</v>
      </c>
      <c r="X84" s="18"/>
      <c r="Y84" s="534" t="e">
        <f t="shared" ca="1" si="141"/>
        <v>#REF!</v>
      </c>
      <c r="Z84" s="447" t="e">
        <f t="shared" ca="1" si="142"/>
        <v>#REF!</v>
      </c>
      <c r="AA84" s="18"/>
      <c r="AB84" s="441" t="e">
        <f ca="1">MAX(AB$77:AB$78)+IF($B$2="mil",1,0.0254)*DDR2Specs!$E$3</f>
        <v>#NAME?</v>
      </c>
      <c r="AC84" s="441" t="e">
        <f ca="1">MIN(AB$77:AB$78)+IF($B$2="mil",1,0.0254)*DDR2Specs!$F$3</f>
        <v>#NAME?</v>
      </c>
      <c r="AD84" s="18"/>
      <c r="AE84" s="534" t="e">
        <f t="shared" ca="1" si="127"/>
        <v>#REF!</v>
      </c>
      <c r="AF84" s="447" t="e">
        <f t="shared" ca="1" si="128"/>
        <v>#REF!</v>
      </c>
      <c r="AG84" s="447" t="e">
        <f t="shared" si="129"/>
        <v>#REF!</v>
      </c>
      <c r="AH84" s="447" t="e">
        <f t="shared" si="130"/>
        <v>#REF!</v>
      </c>
      <c r="AI84" s="447" t="e">
        <f t="shared" si="143"/>
        <v>#REF!</v>
      </c>
      <c r="AJ84" s="447" t="e">
        <f t="shared" ca="1" si="131"/>
        <v>#NAME?</v>
      </c>
      <c r="AK84" s="447" t="e">
        <f t="shared" si="144"/>
        <v>#REF!</v>
      </c>
      <c r="AL84" s="447" t="e">
        <f t="shared" si="145"/>
        <v>#REF!</v>
      </c>
      <c r="AM84" s="447" t="e">
        <f t="shared" ca="1" si="146"/>
        <v>#NAME?</v>
      </c>
      <c r="AN84" s="447" t="e">
        <f t="shared" ca="1" si="132"/>
        <v>#NAME?</v>
      </c>
      <c r="AO84" s="447" t="e">
        <f t="shared" si="133"/>
        <v>#REF!</v>
      </c>
      <c r="AP84" s="447" t="e">
        <f t="shared" si="134"/>
        <v>#REF!</v>
      </c>
      <c r="AQ84" s="447" t="e">
        <f t="shared" si="135"/>
        <v>#REF!</v>
      </c>
      <c r="AR84" s="447" t="e">
        <f t="shared" si="136"/>
        <v>#REF!</v>
      </c>
      <c r="AS84" s="18"/>
      <c r="AT84" s="2" t="e">
        <f t="shared" ca="1" si="137"/>
        <v>#REF!</v>
      </c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</row>
    <row r="85" spans="1:62" x14ac:dyDescent="0.2">
      <c r="A85" s="77" t="s">
        <v>228</v>
      </c>
      <c r="B85" s="587" t="s">
        <v>161</v>
      </c>
      <c r="C85" s="584">
        <v>662.00787401574814</v>
      </c>
      <c r="D85" s="16"/>
      <c r="E85" s="17">
        <v>29.7</v>
      </c>
      <c r="F85" s="17">
        <v>0</v>
      </c>
      <c r="G85" s="393">
        <v>1679.8723622047244</v>
      </c>
      <c r="H85" s="271">
        <v>97.33</v>
      </c>
      <c r="I85" s="17">
        <v>0</v>
      </c>
      <c r="J85" s="271">
        <v>52.5</v>
      </c>
      <c r="K85" s="17">
        <v>40</v>
      </c>
      <c r="L85" s="271">
        <v>115.06</v>
      </c>
      <c r="M85" s="271">
        <v>1018.94</v>
      </c>
      <c r="N85" s="271">
        <v>75.67</v>
      </c>
      <c r="O85" s="58"/>
      <c r="P85" s="441">
        <f t="shared" si="138"/>
        <v>1806.9023622047243</v>
      </c>
      <c r="Q85" s="441">
        <f t="shared" si="139"/>
        <v>3011.7423622047245</v>
      </c>
      <c r="R85" s="533"/>
      <c r="S85" s="441" t="e">
        <f t="shared" si="140"/>
        <v>#REF!</v>
      </c>
      <c r="T85" s="441" t="e">
        <f t="shared" si="126"/>
        <v>#REF!</v>
      </c>
      <c r="U85" s="533"/>
      <c r="V85" s="441" t="e">
        <f ca="1">MAX(V$77:V$78)+IF($B$2="mil",1,0.0254)*DDR2Specs!$B$3</f>
        <v>#NAME?</v>
      </c>
      <c r="W85" s="441" t="e">
        <f ca="1">MIN(V$77:V$78)+IF($B$2="mil",1,0.0254)*DDR2Specs!$C$3</f>
        <v>#NAME?</v>
      </c>
      <c r="X85" s="18"/>
      <c r="Y85" s="534" t="e">
        <f t="shared" ca="1" si="141"/>
        <v>#REF!</v>
      </c>
      <c r="Z85" s="447" t="e">
        <f t="shared" ca="1" si="142"/>
        <v>#REF!</v>
      </c>
      <c r="AA85" s="18"/>
      <c r="AB85" s="441" t="e">
        <f ca="1">MAX(AB$77:AB$78)+IF($B$2="mil",1,0.0254)*DDR2Specs!$E$3</f>
        <v>#NAME?</v>
      </c>
      <c r="AC85" s="441" t="e">
        <f ca="1">MIN(AB$77:AB$78)+IF($B$2="mil",1,0.0254)*DDR2Specs!$F$3</f>
        <v>#NAME?</v>
      </c>
      <c r="AD85" s="18"/>
      <c r="AE85" s="534" t="e">
        <f t="shared" ca="1" si="127"/>
        <v>#REF!</v>
      </c>
      <c r="AF85" s="447" t="e">
        <f t="shared" ca="1" si="128"/>
        <v>#REF!</v>
      </c>
      <c r="AG85" s="447" t="e">
        <f t="shared" si="129"/>
        <v>#REF!</v>
      </c>
      <c r="AH85" s="447" t="e">
        <f t="shared" si="130"/>
        <v>#REF!</v>
      </c>
      <c r="AI85" s="447" t="e">
        <f t="shared" si="143"/>
        <v>#REF!</v>
      </c>
      <c r="AJ85" s="447" t="e">
        <f t="shared" ca="1" si="131"/>
        <v>#NAME?</v>
      </c>
      <c r="AK85" s="447" t="e">
        <f t="shared" si="144"/>
        <v>#REF!</v>
      </c>
      <c r="AL85" s="447" t="e">
        <f t="shared" si="145"/>
        <v>#REF!</v>
      </c>
      <c r="AM85" s="447" t="e">
        <f t="shared" ca="1" si="146"/>
        <v>#NAME?</v>
      </c>
      <c r="AN85" s="447" t="e">
        <f t="shared" ca="1" si="132"/>
        <v>#NAME?</v>
      </c>
      <c r="AO85" s="447" t="e">
        <f t="shared" si="133"/>
        <v>#REF!</v>
      </c>
      <c r="AP85" s="447" t="e">
        <f t="shared" si="134"/>
        <v>#REF!</v>
      </c>
      <c r="AQ85" s="447" t="e">
        <f t="shared" si="135"/>
        <v>#REF!</v>
      </c>
      <c r="AR85" s="447" t="e">
        <f t="shared" si="136"/>
        <v>#REF!</v>
      </c>
      <c r="AS85" s="18"/>
      <c r="AT85" s="2" t="e">
        <f t="shared" ca="1" si="137"/>
        <v>#REF!</v>
      </c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</row>
    <row r="86" spans="1:62" x14ac:dyDescent="0.2">
      <c r="A86" s="77" t="s">
        <v>229</v>
      </c>
      <c r="B86" s="587" t="s">
        <v>421</v>
      </c>
      <c r="C86" s="584">
        <v>655.43307086614175</v>
      </c>
      <c r="D86" s="16"/>
      <c r="E86" s="17">
        <v>29.7</v>
      </c>
      <c r="F86" s="17">
        <v>0</v>
      </c>
      <c r="G86" s="393">
        <v>1654.0892913385831</v>
      </c>
      <c r="H86" s="271">
        <v>107.68</v>
      </c>
      <c r="I86" s="17">
        <v>0</v>
      </c>
      <c r="J86" s="271">
        <v>97.86</v>
      </c>
      <c r="K86" s="17">
        <v>40</v>
      </c>
      <c r="L86" s="271">
        <v>87.86</v>
      </c>
      <c r="M86" s="271">
        <v>1011.8</v>
      </c>
      <c r="N86" s="271">
        <v>75</v>
      </c>
      <c r="O86" s="58"/>
      <c r="P86" s="441">
        <f t="shared" si="138"/>
        <v>1791.4692913385832</v>
      </c>
      <c r="Q86" s="441">
        <f t="shared" si="139"/>
        <v>2996.3092913385826</v>
      </c>
      <c r="R86" s="533"/>
      <c r="S86" s="441" t="e">
        <f t="shared" si="140"/>
        <v>#REF!</v>
      </c>
      <c r="T86" s="441" t="e">
        <f t="shared" si="126"/>
        <v>#REF!</v>
      </c>
      <c r="U86" s="533"/>
      <c r="V86" s="441" t="e">
        <f ca="1">MAX(V$77:V$78)+IF($B$2="mil",1,0.0254)*DDR2Specs!$B$3</f>
        <v>#NAME?</v>
      </c>
      <c r="W86" s="441" t="e">
        <f ca="1">MIN(V$77:V$78)+IF($B$2="mil",1,0.0254)*DDR2Specs!$C$3</f>
        <v>#NAME?</v>
      </c>
      <c r="X86" s="18"/>
      <c r="Y86" s="534" t="e">
        <f t="shared" ca="1" si="141"/>
        <v>#REF!</v>
      </c>
      <c r="Z86" s="447" t="e">
        <f t="shared" ca="1" si="142"/>
        <v>#REF!</v>
      </c>
      <c r="AA86" s="18"/>
      <c r="AB86" s="441" t="e">
        <f ca="1">MAX(AB$77:AB$78)+IF($B$2="mil",1,0.0254)*DDR2Specs!$E$3</f>
        <v>#NAME?</v>
      </c>
      <c r="AC86" s="441" t="e">
        <f ca="1">MIN(AB$77:AB$78)+IF($B$2="mil",1,0.0254)*DDR2Specs!$F$3</f>
        <v>#NAME?</v>
      </c>
      <c r="AD86" s="18"/>
      <c r="AE86" s="534" t="e">
        <f t="shared" ca="1" si="127"/>
        <v>#REF!</v>
      </c>
      <c r="AF86" s="447" t="e">
        <f t="shared" ca="1" si="128"/>
        <v>#REF!</v>
      </c>
      <c r="AG86" s="447" t="e">
        <f t="shared" si="129"/>
        <v>#REF!</v>
      </c>
      <c r="AH86" s="447" t="e">
        <f t="shared" si="130"/>
        <v>#REF!</v>
      </c>
      <c r="AI86" s="447" t="e">
        <f t="shared" si="143"/>
        <v>#REF!</v>
      </c>
      <c r="AJ86" s="447" t="e">
        <f t="shared" ca="1" si="131"/>
        <v>#NAME?</v>
      </c>
      <c r="AK86" s="447" t="e">
        <f t="shared" si="144"/>
        <v>#REF!</v>
      </c>
      <c r="AL86" s="447" t="e">
        <f t="shared" si="145"/>
        <v>#REF!</v>
      </c>
      <c r="AM86" s="447" t="e">
        <f t="shared" ca="1" si="146"/>
        <v>#NAME?</v>
      </c>
      <c r="AN86" s="447" t="e">
        <f t="shared" ca="1" si="132"/>
        <v>#NAME?</v>
      </c>
      <c r="AO86" s="447" t="e">
        <f t="shared" si="133"/>
        <v>#REF!</v>
      </c>
      <c r="AP86" s="447" t="e">
        <f t="shared" si="134"/>
        <v>#REF!</v>
      </c>
      <c r="AQ86" s="447" t="e">
        <f t="shared" si="135"/>
        <v>#REF!</v>
      </c>
      <c r="AR86" s="447" t="e">
        <f t="shared" si="136"/>
        <v>#REF!</v>
      </c>
      <c r="AS86" s="18"/>
      <c r="AT86" s="2" t="e">
        <f t="shared" ca="1" si="137"/>
        <v>#REF!</v>
      </c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</row>
    <row r="87" spans="1:62" x14ac:dyDescent="0.2">
      <c r="A87" s="77" t="s">
        <v>230</v>
      </c>
      <c r="B87" s="587" t="s">
        <v>394</v>
      </c>
      <c r="C87" s="584">
        <v>709.09448818897636</v>
      </c>
      <c r="D87" s="16"/>
      <c r="E87" s="17">
        <v>29.7</v>
      </c>
      <c r="F87" s="17">
        <v>0</v>
      </c>
      <c r="G87" s="393">
        <v>1622.17</v>
      </c>
      <c r="H87" s="271">
        <v>132.72999999999999</v>
      </c>
      <c r="I87" s="17">
        <v>0</v>
      </c>
      <c r="J87" s="271">
        <v>104.64</v>
      </c>
      <c r="K87" s="17">
        <v>40</v>
      </c>
      <c r="L87" s="271">
        <v>46.64</v>
      </c>
      <c r="M87" s="271">
        <v>1114.8</v>
      </c>
      <c r="N87" s="271">
        <v>31.49</v>
      </c>
      <c r="O87" s="58"/>
      <c r="P87" s="441">
        <f t="shared" si="138"/>
        <v>1784.6000000000001</v>
      </c>
      <c r="Q87" s="441">
        <f t="shared" si="139"/>
        <v>2989.44</v>
      </c>
      <c r="R87" s="533"/>
      <c r="S87" s="441" t="e">
        <f t="shared" si="140"/>
        <v>#REF!</v>
      </c>
      <c r="T87" s="441" t="e">
        <f t="shared" si="126"/>
        <v>#REF!</v>
      </c>
      <c r="U87" s="533"/>
      <c r="V87" s="441" t="e">
        <f ca="1">MAX(V$77:V$78)+IF($B$2="mil",1,0.0254)*DDR2Specs!$B$3</f>
        <v>#NAME?</v>
      </c>
      <c r="W87" s="441" t="e">
        <f ca="1">MIN(V$77:V$78)+IF($B$2="mil",1,0.0254)*DDR2Specs!$C$3</f>
        <v>#NAME?</v>
      </c>
      <c r="X87" s="18"/>
      <c r="Y87" s="534" t="e">
        <f t="shared" ca="1" si="141"/>
        <v>#REF!</v>
      </c>
      <c r="Z87" s="447" t="e">
        <f t="shared" ca="1" si="142"/>
        <v>#REF!</v>
      </c>
      <c r="AA87" s="18"/>
      <c r="AB87" s="441" t="e">
        <f ca="1">MAX(AB$77:AB$78)+IF($B$2="mil",1,0.0254)*DDR2Specs!$E$3</f>
        <v>#NAME?</v>
      </c>
      <c r="AC87" s="441" t="e">
        <f ca="1">MIN(AB$77:AB$78)+IF($B$2="mil",1,0.0254)*DDR2Specs!$F$3</f>
        <v>#NAME?</v>
      </c>
      <c r="AD87" s="18"/>
      <c r="AE87" s="534" t="e">
        <f t="shared" ca="1" si="127"/>
        <v>#REF!</v>
      </c>
      <c r="AF87" s="447" t="e">
        <f t="shared" ca="1" si="128"/>
        <v>#REF!</v>
      </c>
      <c r="AG87" s="447" t="e">
        <f t="shared" si="129"/>
        <v>#REF!</v>
      </c>
      <c r="AH87" s="447" t="e">
        <f t="shared" si="130"/>
        <v>#REF!</v>
      </c>
      <c r="AI87" s="447" t="e">
        <f t="shared" si="143"/>
        <v>#REF!</v>
      </c>
      <c r="AJ87" s="447" t="e">
        <f t="shared" ca="1" si="131"/>
        <v>#NAME?</v>
      </c>
      <c r="AK87" s="447" t="e">
        <f t="shared" si="144"/>
        <v>#REF!</v>
      </c>
      <c r="AL87" s="447" t="e">
        <f t="shared" si="145"/>
        <v>#REF!</v>
      </c>
      <c r="AM87" s="447" t="e">
        <f t="shared" ca="1" si="146"/>
        <v>#NAME?</v>
      </c>
      <c r="AN87" s="447" t="e">
        <f t="shared" ca="1" si="132"/>
        <v>#NAME?</v>
      </c>
      <c r="AO87" s="447" t="e">
        <f t="shared" si="133"/>
        <v>#REF!</v>
      </c>
      <c r="AP87" s="447" t="e">
        <f t="shared" si="134"/>
        <v>#REF!</v>
      </c>
      <c r="AQ87" s="447" t="e">
        <f t="shared" si="135"/>
        <v>#REF!</v>
      </c>
      <c r="AR87" s="447" t="e">
        <f t="shared" si="136"/>
        <v>#REF!</v>
      </c>
      <c r="AS87" s="18"/>
      <c r="AT87" s="2" t="e">
        <f t="shared" ca="1" si="137"/>
        <v>#REF!</v>
      </c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</row>
    <row r="88" spans="1:62" x14ac:dyDescent="0.2">
      <c r="A88" s="6" t="s">
        <v>252</v>
      </c>
      <c r="B88" s="588"/>
      <c r="C88" s="585"/>
      <c r="D88" s="51"/>
      <c r="E88" s="68"/>
      <c r="F88" s="68"/>
      <c r="G88" s="394"/>
      <c r="H88" s="265"/>
      <c r="I88" s="265"/>
      <c r="J88" s="265"/>
      <c r="K88" s="265"/>
      <c r="L88" s="265"/>
      <c r="M88" s="265"/>
      <c r="N88" s="265"/>
      <c r="O88" s="8"/>
      <c r="P88" s="68"/>
      <c r="Q88" s="68"/>
      <c r="R88" s="68"/>
      <c r="S88" s="539"/>
      <c r="T88" s="539"/>
      <c r="U88" s="539"/>
      <c r="V88" s="539"/>
      <c r="W88" s="540"/>
      <c r="X88" s="540"/>
      <c r="Y88" s="541"/>
      <c r="Z88" s="15"/>
      <c r="AA88" s="540"/>
      <c r="AB88" s="539"/>
      <c r="AC88" s="540"/>
      <c r="AD88" s="540"/>
      <c r="AE88" s="541"/>
      <c r="AF88" s="15"/>
      <c r="AG88" s="15"/>
      <c r="AH88" s="15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69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</row>
    <row r="89" spans="1:62" x14ac:dyDescent="0.2">
      <c r="A89" s="43" t="str">
        <f>'DDR2 Strobes - 1x16'!$A$30</f>
        <v>SA_DQS7</v>
      </c>
      <c r="B89" s="597" t="str">
        <f>'DDR2 Strobes - 1x16'!$B$30</f>
        <v>AA12</v>
      </c>
      <c r="C89" s="586"/>
      <c r="D89" s="44"/>
      <c r="E89" s="67"/>
      <c r="F89" s="67"/>
      <c r="G89" s="395"/>
      <c r="H89" s="266"/>
      <c r="I89" s="266"/>
      <c r="J89" s="266"/>
      <c r="K89" s="266"/>
      <c r="L89" s="266"/>
      <c r="M89" s="266"/>
      <c r="N89" s="266"/>
      <c r="O89" s="67"/>
      <c r="P89" s="67"/>
      <c r="Q89" s="67"/>
      <c r="R89" s="67"/>
      <c r="S89" s="48"/>
      <c r="T89" s="48"/>
      <c r="U89" s="48"/>
      <c r="V89" s="48" t="e">
        <f ca="1">GetSODIMMStrbLen($A89)</f>
        <v>#NAME?</v>
      </c>
      <c r="W89" s="48"/>
      <c r="X89" s="48"/>
      <c r="Y89" s="48"/>
      <c r="Z89" s="542"/>
      <c r="AA89" s="549" t="e">
        <f>"Strobe Pair to " &amp;#REF!</f>
        <v>#REF!</v>
      </c>
      <c r="AB89" s="48" t="e">
        <f ca="1">GetStrbLen(#REF!, "P")</f>
        <v>#NAME?</v>
      </c>
      <c r="AC89" s="48"/>
      <c r="AD89" s="48"/>
      <c r="AE89" s="48"/>
      <c r="AF89" s="542"/>
      <c r="AG89" s="542"/>
      <c r="AH89" s="542"/>
      <c r="AI89" s="542"/>
      <c r="AJ89" s="542"/>
      <c r="AK89" s="542"/>
      <c r="AL89" s="542"/>
      <c r="AM89" s="542"/>
      <c r="AN89" s="542"/>
      <c r="AO89" s="542"/>
      <c r="AP89" s="542"/>
      <c r="AQ89" s="542"/>
      <c r="AR89" s="542"/>
      <c r="AS89" s="48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</row>
    <row r="90" spans="1:62" x14ac:dyDescent="0.2">
      <c r="A90" s="43" t="str">
        <f>'DDR2 Strobes - 1x16'!$A$31</f>
        <v>SA_DQS7#</v>
      </c>
      <c r="B90" s="542" t="str">
        <f>'DDR2 Strobes - 1x16'!$B$31</f>
        <v>AB12</v>
      </c>
      <c r="C90" s="586"/>
      <c r="D90" s="44"/>
      <c r="E90" s="67"/>
      <c r="F90" s="67"/>
      <c r="G90" s="395"/>
      <c r="H90" s="266"/>
      <c r="I90" s="266"/>
      <c r="J90" s="266"/>
      <c r="K90" s="266"/>
      <c r="L90" s="266"/>
      <c r="M90" s="266"/>
      <c r="N90" s="266"/>
      <c r="O90" s="67"/>
      <c r="P90" s="67"/>
      <c r="Q90" s="536"/>
      <c r="R90" s="536"/>
      <c r="S90" s="537"/>
      <c r="T90" s="537"/>
      <c r="U90" s="48"/>
      <c r="V90" s="48" t="e">
        <f ca="1">GetSODIMMStrbLen($A90)</f>
        <v>#NAME?</v>
      </c>
      <c r="W90" s="48"/>
      <c r="X90" s="48"/>
      <c r="Y90" s="48"/>
      <c r="Z90" s="542"/>
      <c r="AA90" s="550" t="e">
        <f>"Strobe Pair to " &amp;#REF!</f>
        <v>#REF!</v>
      </c>
      <c r="AB90" s="48" t="e">
        <f ca="1">GetStrbLen(#REF!, "N")</f>
        <v>#NAME?</v>
      </c>
      <c r="AC90" s="48"/>
      <c r="AD90" s="48"/>
      <c r="AE90" s="48"/>
      <c r="AF90" s="542"/>
      <c r="AG90" s="542"/>
      <c r="AH90" s="542"/>
      <c r="AI90" s="543"/>
      <c r="AJ90" s="543"/>
      <c r="AK90" s="543"/>
      <c r="AL90" s="543"/>
      <c r="AM90" s="543"/>
      <c r="AN90" s="543"/>
      <c r="AO90" s="543"/>
      <c r="AP90" s="543"/>
      <c r="AQ90" s="543"/>
      <c r="AR90" s="543"/>
      <c r="AS90" s="48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</row>
    <row r="91" spans="1:62" x14ac:dyDescent="0.2">
      <c r="A91" s="77" t="s">
        <v>231</v>
      </c>
      <c r="B91" s="587" t="s">
        <v>152</v>
      </c>
      <c r="C91" s="584">
        <v>818.89763779527561</v>
      </c>
      <c r="D91" s="16"/>
      <c r="E91" s="17">
        <v>29.7</v>
      </c>
      <c r="F91" s="17">
        <v>0</v>
      </c>
      <c r="G91" s="393">
        <v>1679.2</v>
      </c>
      <c r="H91" s="271">
        <v>85.84</v>
      </c>
      <c r="I91" s="17">
        <v>0</v>
      </c>
      <c r="J91" s="271">
        <v>55.78</v>
      </c>
      <c r="K91" s="17">
        <v>40</v>
      </c>
      <c r="L91" s="271">
        <v>108.5</v>
      </c>
      <c r="M91" s="271">
        <v>979.23999999999933</v>
      </c>
      <c r="N91" s="271">
        <v>75.73</v>
      </c>
      <c r="O91" s="58"/>
      <c r="P91" s="441">
        <f t="shared" ref="P91:P99" si="147" xml:space="preserve"> E91+F91+G91+H91</f>
        <v>1794.74</v>
      </c>
      <c r="Q91" s="441">
        <f t="shared" ref="Q91:Q99" si="148">SUM(E91:G91,I91:N91)</f>
        <v>2968.1499999999992</v>
      </c>
      <c r="R91" s="533"/>
      <c r="S91" s="441" t="e">
        <f>P91+IF($B$2="mil",1,0.0254)*C91</f>
        <v>#REF!</v>
      </c>
      <c r="T91" s="441" t="e">
        <f t="shared" ref="T91:T99" si="149">Q91+IF($B$2="mil",1,0.0254)*$C91</f>
        <v>#REF!</v>
      </c>
      <c r="U91" s="533"/>
      <c r="V91" s="441" t="e">
        <f ca="1">MAX(V$89:V$90)+IF($B$2="mil",1,0.0254)*DDR2Specs!$B$3</f>
        <v>#NAME?</v>
      </c>
      <c r="W91" s="441" t="e">
        <f ca="1">MIN(V$89:V$90)+IF($B$2="mil",1,0.0254)*DDR2Specs!$C$3</f>
        <v>#NAME?</v>
      </c>
      <c r="X91" s="18"/>
      <c r="Y91" s="534" t="e">
        <f ca="1">IF($S91&lt;$V91,$V91-$S91,"Pass")</f>
        <v>#REF!</v>
      </c>
      <c r="Z91" s="447" t="e">
        <f ca="1">IF($S91&gt;$W91,$S91-$W91,"Pass")</f>
        <v>#REF!</v>
      </c>
      <c r="AA91" s="18"/>
      <c r="AB91" s="441" t="e">
        <f ca="1">MAX(AB$89:AB$90)+IF($B$2="mil",1,0.0254)*DDR2Specs!$E$3</f>
        <v>#NAME?</v>
      </c>
      <c r="AC91" s="441" t="e">
        <f ca="1">MIN(AB$89:AB$90)+IF($B$2="mil",1,0.0254)*DDR2Specs!$F$3</f>
        <v>#NAME?</v>
      </c>
      <c r="AD91" s="18"/>
      <c r="AE91" s="534" t="e">
        <f t="shared" ref="AE91:AE99" ca="1" si="150">IF($T91&lt;$AB91,$AB91-$T91,"Pass")</f>
        <v>#REF!</v>
      </c>
      <c r="AF91" s="447" t="e">
        <f t="shared" ref="AF91:AF99" ca="1" si="151">IF($T91&gt;$AC91,$T91-$AC91,"Pass")</f>
        <v>#REF!</v>
      </c>
      <c r="AG91" s="447" t="e">
        <f t="shared" ref="AG91:AG99" si="152">IF($E91&lt;=IF($B$2="mil",1,0.0254)*50,"Pass",IF($B$2="mil",1,0.0254)*50-$E91)</f>
        <v>#REF!</v>
      </c>
      <c r="AH91" s="447" t="e">
        <f t="shared" ref="AH91:AH99" si="153">IF($F91&lt;=IF($B$2="mil",1,0.0254)*500,"Pass",IF($B$2="mil",1,0.0254)*500-$F91)</f>
        <v>#REF!</v>
      </c>
      <c r="AI91" s="447" t="e">
        <f>IF($H91&lt;=IF($B$2="mil",1,0.0254)*250,"Pass",IF($B$2="mil",1,0.0254)*250-$H91)</f>
        <v>#REF!</v>
      </c>
      <c r="AJ91" s="447" t="e">
        <f t="shared" ref="AJ91:AJ99" ca="1" si="154">CheckLength(IF($B$2="mil",1,0.0254)*1000, IF($B$2="mil",1,0.0254)*125-J91, 0, I91,J91,0)</f>
        <v>#NAME?</v>
      </c>
      <c r="AK91" s="447" t="e">
        <f>IF($J91&lt;=IF($B$2="mil",1,0.0254)*125,"Pass",IF($B$2="mil",1,0.0254)*125-$J91)</f>
        <v>#REF!</v>
      </c>
      <c r="AL91" s="447" t="e">
        <f>IF($L91&lt;=IF($B$2="mil",1,0.0254)*125,"Pass",IF($B$2="mil",1,0.0254)*125-$L91)</f>
        <v>#REF!</v>
      </c>
      <c r="AM91" s="447" t="e">
        <f ca="1">CheckLength(IF($B$2="mil",1,0.0254)*1250, IF($B$2="mil",1,0.0254)*125-L91, IF($B$2="mil",1,0.0254)*150-N91, M91,L91,N91)</f>
        <v>#NAME?</v>
      </c>
      <c r="AN91" s="447" t="e">
        <f t="shared" ref="AN91:AN99" ca="1" si="155">CheckLength2(IF($B$2="mil",1,0.0254)*1400,M91,N91,0)</f>
        <v>#NAME?</v>
      </c>
      <c r="AO91" s="447" t="e">
        <f t="shared" ref="AO91:AO99" si="156">IF(AND($P91&gt;=IF($B$2="mil",1,0.0254)*500, $P91&lt;=IF($B$2="mil",1,0.0254)*4000),"Pass",IF($B$2="mil",1,0.0254)*4000-$P91)</f>
        <v>#REF!</v>
      </c>
      <c r="AP91" s="447" t="e">
        <f t="shared" ref="AP91:AP99" si="157">IF(AND($S91&gt;=IF($B$2="mil",1,0.0254)*500, $S91&lt;=IF($B$2="mil",1,0.0254)*4500),"Pass",IF($B$2="mil",1,0.0254)*4500-$S91)</f>
        <v>#REF!</v>
      </c>
      <c r="AQ91" s="447" t="e">
        <f t="shared" ref="AQ91:AQ99" si="158">IF(AND($Q91&gt;=IF($B$2="mil",1,0.0254)*500, $Q91&lt;=IF($B$2="mil",1,0.0254)*5500),"Pass",IF($B$2="mil",1,0.0254)*5500-$Q91)</f>
        <v>#REF!</v>
      </c>
      <c r="AR91" s="447" t="e">
        <f t="shared" ref="AR91:AR99" si="159">IF(AND($T91&gt;=IF($B$2="mil",1,0.0254)*500, $T91&lt;=IF($B$2="mil",1,0.0254)*6000),"Pass",IF($B$2="mil",1,0.0254)*6000-$T91)</f>
        <v>#REF!</v>
      </c>
      <c r="AS91" s="18"/>
      <c r="AT91" s="2" t="e">
        <f t="shared" ref="AT91:AT99" ca="1" si="160">IF(AND(AG91="Pass",AP91="Pass",AI91="Pass",AH91="Pass",AO91="Pass",Y91="Pass",Z91="Pass",AN91="Pass",AM91="Pass",AL91="Pass",AK91="Pass",AJ91="Pass",AE91="Pass",AF91="Pass",AQ91="Pass",AR91="Pass"),"Pass","Fail")</f>
        <v>#REF!</v>
      </c>
      <c r="AU91" s="2" t="e">
        <f ca="1">IF(AND(AT91="Pass",AT92="Pass",AT93="Pass",AT94="Pass",AT95="Pass",AT96="Pass",AT97="Pass",AT98="Pass",AT99="Pass"),"Pass","Fail")</f>
        <v>#REF!</v>
      </c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</row>
    <row r="92" spans="1:62" x14ac:dyDescent="0.2">
      <c r="A92" s="77" t="s">
        <v>232</v>
      </c>
      <c r="B92" s="587" t="s">
        <v>162</v>
      </c>
      <c r="C92" s="584">
        <v>680.03937007874015</v>
      </c>
      <c r="D92" s="16"/>
      <c r="E92" s="17">
        <v>29.7</v>
      </c>
      <c r="F92" s="17">
        <v>0</v>
      </c>
      <c r="G92" s="393">
        <v>1646.1322047244089</v>
      </c>
      <c r="H92" s="271">
        <v>111.27</v>
      </c>
      <c r="I92" s="17">
        <v>0</v>
      </c>
      <c r="J92" s="271">
        <v>90.78</v>
      </c>
      <c r="K92" s="17">
        <v>40</v>
      </c>
      <c r="L92" s="271">
        <v>86.78</v>
      </c>
      <c r="M92" s="271">
        <v>991.06</v>
      </c>
      <c r="N92" s="271">
        <v>76.06</v>
      </c>
      <c r="O92" s="58"/>
      <c r="P92" s="441">
        <f t="shared" si="147"/>
        <v>1787.1022047244089</v>
      </c>
      <c r="Q92" s="441">
        <f t="shared" si="148"/>
        <v>2960.512204724409</v>
      </c>
      <c r="R92" s="533"/>
      <c r="S92" s="441" t="e">
        <f t="shared" ref="S92:S99" si="161">P92+IF($B$2="mil",1,0.0254)*C92</f>
        <v>#REF!</v>
      </c>
      <c r="T92" s="441" t="e">
        <f t="shared" si="149"/>
        <v>#REF!</v>
      </c>
      <c r="U92" s="533"/>
      <c r="V92" s="441" t="e">
        <f ca="1">MAX(V$89:V$90)+IF($B$2="mil",1,0.0254)*DDR2Specs!$B$3</f>
        <v>#NAME?</v>
      </c>
      <c r="W92" s="441" t="e">
        <f ca="1">MIN(V$89:V$90)+IF($B$2="mil",1,0.0254)*DDR2Specs!$C$3</f>
        <v>#NAME?</v>
      </c>
      <c r="X92" s="18"/>
      <c r="Y92" s="534" t="e">
        <f t="shared" ref="Y92:Y99" ca="1" si="162">IF($S92&lt;$V92,$V92-$S92,"Pass")</f>
        <v>#REF!</v>
      </c>
      <c r="Z92" s="447" t="e">
        <f t="shared" ref="Z92:Z99" ca="1" si="163">IF($S92&gt;$W92,$S92-$W92,"Pass")</f>
        <v>#REF!</v>
      </c>
      <c r="AA92" s="18"/>
      <c r="AB92" s="441" t="e">
        <f ca="1">MAX(AB$89:AB$90)+IF($B$2="mil",1,0.0254)*DDR2Specs!$E$3</f>
        <v>#NAME?</v>
      </c>
      <c r="AC92" s="441" t="e">
        <f ca="1">MIN(AB$89:AB$90)+IF($B$2="mil",1,0.0254)*DDR2Specs!$F$3</f>
        <v>#NAME?</v>
      </c>
      <c r="AD92" s="18"/>
      <c r="AE92" s="534" t="e">
        <f t="shared" ca="1" si="150"/>
        <v>#REF!</v>
      </c>
      <c r="AF92" s="447" t="e">
        <f t="shared" ca="1" si="151"/>
        <v>#REF!</v>
      </c>
      <c r="AG92" s="447" t="e">
        <f t="shared" si="152"/>
        <v>#REF!</v>
      </c>
      <c r="AH92" s="447" t="e">
        <f t="shared" si="153"/>
        <v>#REF!</v>
      </c>
      <c r="AI92" s="447" t="e">
        <f t="shared" ref="AI92:AI99" si="164">IF($H92&lt;=IF($B$2="mil",1,0.0254)*250,"Pass",IF($B$2="mil",1,0.0254)*250-$H92)</f>
        <v>#REF!</v>
      </c>
      <c r="AJ92" s="447" t="e">
        <f t="shared" ca="1" si="154"/>
        <v>#NAME?</v>
      </c>
      <c r="AK92" s="447" t="e">
        <f t="shared" ref="AK92:AK99" si="165">IF($J92&lt;=IF($B$2="mil",1,0.0254)*125,"Pass",IF($B$2="mil",1,0.0254)*125-$J92)</f>
        <v>#REF!</v>
      </c>
      <c r="AL92" s="447" t="e">
        <f t="shared" ref="AL92:AL99" si="166">IF($L92&lt;=IF($B$2="mil",1,0.0254)*125,"Pass",IF($B$2="mil",1,0.0254)*125-$L92)</f>
        <v>#REF!</v>
      </c>
      <c r="AM92" s="447" t="e">
        <f t="shared" ref="AM92:AM99" ca="1" si="167">CheckLength(IF($B$2="mil",1,0.0254)*1250, IF($B$2="mil",1,0.0254)*125-L92, IF($B$2="mil",1,0.0254)*150-N92, M92,L92,N92)</f>
        <v>#NAME?</v>
      </c>
      <c r="AN92" s="447" t="e">
        <f t="shared" ca="1" si="155"/>
        <v>#NAME?</v>
      </c>
      <c r="AO92" s="447" t="e">
        <f t="shared" si="156"/>
        <v>#REF!</v>
      </c>
      <c r="AP92" s="447" t="e">
        <f t="shared" si="157"/>
        <v>#REF!</v>
      </c>
      <c r="AQ92" s="447" t="e">
        <f t="shared" si="158"/>
        <v>#REF!</v>
      </c>
      <c r="AR92" s="447" t="e">
        <f t="shared" si="159"/>
        <v>#REF!</v>
      </c>
      <c r="AS92" s="18"/>
      <c r="AT92" s="2" t="e">
        <f t="shared" ca="1" si="160"/>
        <v>#REF!</v>
      </c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</row>
    <row r="93" spans="1:62" x14ac:dyDescent="0.2">
      <c r="A93" s="77" t="s">
        <v>233</v>
      </c>
      <c r="B93" s="587" t="s">
        <v>422</v>
      </c>
      <c r="C93" s="584">
        <v>657.40157480314963</v>
      </c>
      <c r="D93" s="16"/>
      <c r="E93" s="17">
        <v>29.7</v>
      </c>
      <c r="F93" s="17">
        <v>0</v>
      </c>
      <c r="G93" s="393">
        <v>1798.6376377952756</v>
      </c>
      <c r="H93" s="271">
        <v>70.3</v>
      </c>
      <c r="I93" s="17">
        <v>0</v>
      </c>
      <c r="J93" s="271">
        <v>55.78</v>
      </c>
      <c r="K93" s="17">
        <v>40</v>
      </c>
      <c r="L93" s="271">
        <v>96.78</v>
      </c>
      <c r="M93" s="271">
        <v>1019.65</v>
      </c>
      <c r="N93" s="271">
        <v>31.5</v>
      </c>
      <c r="O93" s="58"/>
      <c r="P93" s="441">
        <f t="shared" si="147"/>
        <v>1898.6376377952756</v>
      </c>
      <c r="Q93" s="441">
        <f t="shared" si="148"/>
        <v>3072.0476377952755</v>
      </c>
      <c r="R93" s="533"/>
      <c r="S93" s="441" t="e">
        <f t="shared" si="161"/>
        <v>#REF!</v>
      </c>
      <c r="T93" s="441" t="e">
        <f t="shared" si="149"/>
        <v>#REF!</v>
      </c>
      <c r="U93" s="533"/>
      <c r="V93" s="441" t="e">
        <f ca="1">MAX(V$89:V$90)+IF($B$2="mil",1,0.0254)*DDR2Specs!$B$3</f>
        <v>#NAME?</v>
      </c>
      <c r="W93" s="441" t="e">
        <f ca="1">MIN(V$89:V$90)+IF($B$2="mil",1,0.0254)*DDR2Specs!$C$3</f>
        <v>#NAME?</v>
      </c>
      <c r="X93" s="18"/>
      <c r="Y93" s="534" t="e">
        <f t="shared" ca="1" si="162"/>
        <v>#REF!</v>
      </c>
      <c r="Z93" s="447" t="e">
        <f t="shared" ca="1" si="163"/>
        <v>#REF!</v>
      </c>
      <c r="AA93" s="18"/>
      <c r="AB93" s="441" t="e">
        <f ca="1">MAX(AB$89:AB$90)+IF($B$2="mil",1,0.0254)*DDR2Specs!$E$3</f>
        <v>#NAME?</v>
      </c>
      <c r="AC93" s="441" t="e">
        <f ca="1">MIN(AB$89:AB$90)+IF($B$2="mil",1,0.0254)*DDR2Specs!$F$3</f>
        <v>#NAME?</v>
      </c>
      <c r="AD93" s="18"/>
      <c r="AE93" s="534" t="e">
        <f t="shared" ca="1" si="150"/>
        <v>#REF!</v>
      </c>
      <c r="AF93" s="447" t="e">
        <f t="shared" ca="1" si="151"/>
        <v>#REF!</v>
      </c>
      <c r="AG93" s="447" t="e">
        <f t="shared" si="152"/>
        <v>#REF!</v>
      </c>
      <c r="AH93" s="447" t="e">
        <f t="shared" si="153"/>
        <v>#REF!</v>
      </c>
      <c r="AI93" s="447" t="e">
        <f t="shared" si="164"/>
        <v>#REF!</v>
      </c>
      <c r="AJ93" s="447" t="e">
        <f t="shared" ca="1" si="154"/>
        <v>#NAME?</v>
      </c>
      <c r="AK93" s="447" t="e">
        <f t="shared" si="165"/>
        <v>#REF!</v>
      </c>
      <c r="AL93" s="447" t="e">
        <f t="shared" si="166"/>
        <v>#REF!</v>
      </c>
      <c r="AM93" s="447" t="e">
        <f t="shared" ca="1" si="167"/>
        <v>#NAME?</v>
      </c>
      <c r="AN93" s="447" t="e">
        <f t="shared" ca="1" si="155"/>
        <v>#NAME?</v>
      </c>
      <c r="AO93" s="447" t="e">
        <f t="shared" si="156"/>
        <v>#REF!</v>
      </c>
      <c r="AP93" s="447" t="e">
        <f t="shared" si="157"/>
        <v>#REF!</v>
      </c>
      <c r="AQ93" s="447" t="e">
        <f t="shared" si="158"/>
        <v>#REF!</v>
      </c>
      <c r="AR93" s="447" t="e">
        <f t="shared" si="159"/>
        <v>#REF!</v>
      </c>
      <c r="AS93" s="18"/>
      <c r="AT93" s="2" t="e">
        <f t="shared" ca="1" si="160"/>
        <v>#REF!</v>
      </c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</row>
    <row r="94" spans="1:62" x14ac:dyDescent="0.2">
      <c r="A94" s="77" t="s">
        <v>234</v>
      </c>
      <c r="B94" s="587" t="s">
        <v>423</v>
      </c>
      <c r="C94" s="584">
        <v>678.70078740157487</v>
      </c>
      <c r="D94" s="16"/>
      <c r="E94" s="17">
        <v>29.7</v>
      </c>
      <c r="F94" s="17">
        <v>0</v>
      </c>
      <c r="G94" s="393">
        <v>1750.0372440944877</v>
      </c>
      <c r="H94" s="271">
        <v>112.05</v>
      </c>
      <c r="I94" s="17">
        <v>0</v>
      </c>
      <c r="J94" s="271">
        <v>90.78</v>
      </c>
      <c r="K94" s="17">
        <v>40</v>
      </c>
      <c r="L94" s="271">
        <v>61.78</v>
      </c>
      <c r="M94" s="271">
        <v>1061.42</v>
      </c>
      <c r="N94" s="271">
        <v>31.48</v>
      </c>
      <c r="O94" s="58"/>
      <c r="P94" s="441">
        <f t="shared" si="147"/>
        <v>1891.7872440944877</v>
      </c>
      <c r="Q94" s="441">
        <f t="shared" si="148"/>
        <v>3065.1972440944878</v>
      </c>
      <c r="R94" s="533"/>
      <c r="S94" s="441" t="e">
        <f t="shared" si="161"/>
        <v>#REF!</v>
      </c>
      <c r="T94" s="441" t="e">
        <f t="shared" si="149"/>
        <v>#REF!</v>
      </c>
      <c r="U94" s="533"/>
      <c r="V94" s="441" t="e">
        <f ca="1">MAX(V$89:V$90)+IF($B$2="mil",1,0.0254)*DDR2Specs!$B$3</f>
        <v>#NAME?</v>
      </c>
      <c r="W94" s="441" t="e">
        <f ca="1">MIN(V$89:V$90)+IF($B$2="mil",1,0.0254)*DDR2Specs!$C$3</f>
        <v>#NAME?</v>
      </c>
      <c r="X94" s="18"/>
      <c r="Y94" s="534" t="e">
        <f t="shared" ca="1" si="162"/>
        <v>#REF!</v>
      </c>
      <c r="Z94" s="447" t="e">
        <f t="shared" ca="1" si="163"/>
        <v>#REF!</v>
      </c>
      <c r="AA94" s="18"/>
      <c r="AB94" s="441" t="e">
        <f ca="1">MAX(AB$89:AB$90)+IF($B$2="mil",1,0.0254)*DDR2Specs!$E$3</f>
        <v>#NAME?</v>
      </c>
      <c r="AC94" s="441" t="e">
        <f ca="1">MIN(AB$89:AB$90)+IF($B$2="mil",1,0.0254)*DDR2Specs!$F$3</f>
        <v>#NAME?</v>
      </c>
      <c r="AD94" s="18"/>
      <c r="AE94" s="534" t="e">
        <f t="shared" ca="1" si="150"/>
        <v>#REF!</v>
      </c>
      <c r="AF94" s="447" t="e">
        <f t="shared" ca="1" si="151"/>
        <v>#REF!</v>
      </c>
      <c r="AG94" s="447" t="e">
        <f t="shared" si="152"/>
        <v>#REF!</v>
      </c>
      <c r="AH94" s="447" t="e">
        <f t="shared" si="153"/>
        <v>#REF!</v>
      </c>
      <c r="AI94" s="447" t="e">
        <f t="shared" si="164"/>
        <v>#REF!</v>
      </c>
      <c r="AJ94" s="447" t="e">
        <f t="shared" ca="1" si="154"/>
        <v>#NAME?</v>
      </c>
      <c r="AK94" s="447" t="e">
        <f t="shared" si="165"/>
        <v>#REF!</v>
      </c>
      <c r="AL94" s="447" t="e">
        <f t="shared" si="166"/>
        <v>#REF!</v>
      </c>
      <c r="AM94" s="447" t="e">
        <f t="shared" ca="1" si="167"/>
        <v>#NAME?</v>
      </c>
      <c r="AN94" s="447" t="e">
        <f t="shared" ca="1" si="155"/>
        <v>#NAME?</v>
      </c>
      <c r="AO94" s="447" t="e">
        <f t="shared" si="156"/>
        <v>#REF!</v>
      </c>
      <c r="AP94" s="447" t="e">
        <f t="shared" si="157"/>
        <v>#REF!</v>
      </c>
      <c r="AQ94" s="447" t="e">
        <f t="shared" si="158"/>
        <v>#REF!</v>
      </c>
      <c r="AR94" s="447" t="e">
        <f t="shared" si="159"/>
        <v>#REF!</v>
      </c>
      <c r="AS94" s="18"/>
      <c r="AT94" s="2" t="e">
        <f t="shared" ca="1" si="160"/>
        <v>#REF!</v>
      </c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</row>
    <row r="95" spans="1:62" x14ac:dyDescent="0.2">
      <c r="A95" s="77" t="s">
        <v>235</v>
      </c>
      <c r="B95" s="587" t="s">
        <v>165</v>
      </c>
      <c r="C95" s="584">
        <v>732.83464566929138</v>
      </c>
      <c r="D95" s="16"/>
      <c r="E95" s="17">
        <v>29.7</v>
      </c>
      <c r="F95" s="17">
        <v>0</v>
      </c>
      <c r="G95" s="393">
        <v>1638.3108661417318</v>
      </c>
      <c r="H95" s="271">
        <v>124.8</v>
      </c>
      <c r="I95" s="17">
        <v>0</v>
      </c>
      <c r="J95" s="271">
        <v>95.78</v>
      </c>
      <c r="K95" s="17">
        <v>40</v>
      </c>
      <c r="L95" s="271">
        <v>89.93</v>
      </c>
      <c r="M95" s="271">
        <v>996.42</v>
      </c>
      <c r="N95" s="271">
        <v>76.08</v>
      </c>
      <c r="O95" s="58"/>
      <c r="P95" s="441">
        <f t="shared" si="147"/>
        <v>1792.8108661417318</v>
      </c>
      <c r="Q95" s="441">
        <f t="shared" si="148"/>
        <v>2966.2208661417317</v>
      </c>
      <c r="R95" s="533"/>
      <c r="S95" s="441" t="e">
        <f t="shared" si="161"/>
        <v>#REF!</v>
      </c>
      <c r="T95" s="441" t="e">
        <f t="shared" si="149"/>
        <v>#REF!</v>
      </c>
      <c r="U95" s="533"/>
      <c r="V95" s="441" t="e">
        <f ca="1">MAX(V$89:V$90)+IF($B$2="mil",1,0.0254)*DDR2Specs!$B$3</f>
        <v>#NAME?</v>
      </c>
      <c r="W95" s="441" t="e">
        <f ca="1">MIN(V$89:V$90)+IF($B$2="mil",1,0.0254)*DDR2Specs!$C$3</f>
        <v>#NAME?</v>
      </c>
      <c r="X95" s="18"/>
      <c r="Y95" s="534" t="e">
        <f t="shared" ca="1" si="162"/>
        <v>#REF!</v>
      </c>
      <c r="Z95" s="447" t="e">
        <f t="shared" ca="1" si="163"/>
        <v>#REF!</v>
      </c>
      <c r="AA95" s="18"/>
      <c r="AB95" s="441" t="e">
        <f ca="1">MAX(AB$89:AB$90)+IF($B$2="mil",1,0.0254)*DDR2Specs!$E$3</f>
        <v>#NAME?</v>
      </c>
      <c r="AC95" s="441" t="e">
        <f ca="1">MIN(AB$89:AB$90)+IF($B$2="mil",1,0.0254)*DDR2Specs!$F$3</f>
        <v>#NAME?</v>
      </c>
      <c r="AD95" s="18"/>
      <c r="AE95" s="534" t="e">
        <f t="shared" ca="1" si="150"/>
        <v>#REF!</v>
      </c>
      <c r="AF95" s="447" t="e">
        <f t="shared" ca="1" si="151"/>
        <v>#REF!</v>
      </c>
      <c r="AG95" s="447" t="e">
        <f t="shared" si="152"/>
        <v>#REF!</v>
      </c>
      <c r="AH95" s="447" t="e">
        <f t="shared" si="153"/>
        <v>#REF!</v>
      </c>
      <c r="AI95" s="447" t="e">
        <f t="shared" si="164"/>
        <v>#REF!</v>
      </c>
      <c r="AJ95" s="447" t="e">
        <f t="shared" ca="1" si="154"/>
        <v>#NAME?</v>
      </c>
      <c r="AK95" s="447" t="e">
        <f t="shared" si="165"/>
        <v>#REF!</v>
      </c>
      <c r="AL95" s="447" t="e">
        <f t="shared" si="166"/>
        <v>#REF!</v>
      </c>
      <c r="AM95" s="447" t="e">
        <f t="shared" ca="1" si="167"/>
        <v>#NAME?</v>
      </c>
      <c r="AN95" s="447" t="e">
        <f t="shared" ca="1" si="155"/>
        <v>#NAME?</v>
      </c>
      <c r="AO95" s="447" t="e">
        <f t="shared" si="156"/>
        <v>#REF!</v>
      </c>
      <c r="AP95" s="447" t="e">
        <f t="shared" si="157"/>
        <v>#REF!</v>
      </c>
      <c r="AQ95" s="447" t="e">
        <f t="shared" si="158"/>
        <v>#REF!</v>
      </c>
      <c r="AR95" s="447" t="e">
        <f t="shared" si="159"/>
        <v>#REF!</v>
      </c>
      <c r="AS95" s="18"/>
      <c r="AT95" s="2" t="e">
        <f t="shared" ca="1" si="160"/>
        <v>#REF!</v>
      </c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</row>
    <row r="96" spans="1:62" x14ac:dyDescent="0.2">
      <c r="A96" s="77" t="s">
        <v>236</v>
      </c>
      <c r="B96" s="587" t="s">
        <v>166</v>
      </c>
      <c r="C96" s="584">
        <v>573.50393700787401</v>
      </c>
      <c r="D96" s="16"/>
      <c r="E96" s="17">
        <v>29.7</v>
      </c>
      <c r="F96" s="17">
        <v>0</v>
      </c>
      <c r="G96" s="393">
        <v>1628.2603149606298</v>
      </c>
      <c r="H96" s="271">
        <v>79.260000000000005</v>
      </c>
      <c r="I96" s="17">
        <v>0</v>
      </c>
      <c r="J96" s="271">
        <v>58.71</v>
      </c>
      <c r="K96" s="17">
        <v>40</v>
      </c>
      <c r="L96" s="271">
        <v>54.64</v>
      </c>
      <c r="M96" s="271">
        <v>1010.19</v>
      </c>
      <c r="N96" s="271">
        <v>89.13</v>
      </c>
      <c r="O96" s="58"/>
      <c r="P96" s="441">
        <f t="shared" si="147"/>
        <v>1737.2203149606298</v>
      </c>
      <c r="Q96" s="441">
        <f t="shared" si="148"/>
        <v>2910.6303149606301</v>
      </c>
      <c r="R96" s="533"/>
      <c r="S96" s="441" t="e">
        <f t="shared" si="161"/>
        <v>#REF!</v>
      </c>
      <c r="T96" s="441" t="e">
        <f t="shared" si="149"/>
        <v>#REF!</v>
      </c>
      <c r="U96" s="533"/>
      <c r="V96" s="441" t="e">
        <f ca="1">MAX(V$89:V$90)+IF($B$2="mil",1,0.0254)*DDR2Specs!$B$3</f>
        <v>#NAME?</v>
      </c>
      <c r="W96" s="441" t="e">
        <f ca="1">MIN(V$89:V$90)+IF($B$2="mil",1,0.0254)*DDR2Specs!$C$3</f>
        <v>#NAME?</v>
      </c>
      <c r="X96" s="18"/>
      <c r="Y96" s="534" t="e">
        <f t="shared" ca="1" si="162"/>
        <v>#REF!</v>
      </c>
      <c r="Z96" s="447" t="e">
        <f t="shared" ca="1" si="163"/>
        <v>#REF!</v>
      </c>
      <c r="AA96" s="18"/>
      <c r="AB96" s="441" t="e">
        <f ca="1">MAX(AB$89:AB$90)+IF($B$2="mil",1,0.0254)*DDR2Specs!$E$3</f>
        <v>#NAME?</v>
      </c>
      <c r="AC96" s="441" t="e">
        <f ca="1">MIN(AB$89:AB$90)+IF($B$2="mil",1,0.0254)*DDR2Specs!$F$3</f>
        <v>#NAME?</v>
      </c>
      <c r="AD96" s="18"/>
      <c r="AE96" s="534" t="e">
        <f t="shared" ca="1" si="150"/>
        <v>#REF!</v>
      </c>
      <c r="AF96" s="447" t="e">
        <f t="shared" ca="1" si="151"/>
        <v>#REF!</v>
      </c>
      <c r="AG96" s="447" t="e">
        <f t="shared" si="152"/>
        <v>#REF!</v>
      </c>
      <c r="AH96" s="447" t="e">
        <f t="shared" si="153"/>
        <v>#REF!</v>
      </c>
      <c r="AI96" s="447" t="e">
        <f t="shared" si="164"/>
        <v>#REF!</v>
      </c>
      <c r="AJ96" s="447" t="e">
        <f t="shared" ca="1" si="154"/>
        <v>#NAME?</v>
      </c>
      <c r="AK96" s="447" t="e">
        <f t="shared" si="165"/>
        <v>#REF!</v>
      </c>
      <c r="AL96" s="447" t="e">
        <f t="shared" si="166"/>
        <v>#REF!</v>
      </c>
      <c r="AM96" s="447" t="e">
        <f t="shared" ca="1" si="167"/>
        <v>#NAME?</v>
      </c>
      <c r="AN96" s="447" t="e">
        <f t="shared" ca="1" si="155"/>
        <v>#NAME?</v>
      </c>
      <c r="AO96" s="447" t="e">
        <f t="shared" si="156"/>
        <v>#REF!</v>
      </c>
      <c r="AP96" s="447" t="e">
        <f t="shared" si="157"/>
        <v>#REF!</v>
      </c>
      <c r="AQ96" s="447" t="e">
        <f t="shared" si="158"/>
        <v>#REF!</v>
      </c>
      <c r="AR96" s="447" t="e">
        <f t="shared" si="159"/>
        <v>#REF!</v>
      </c>
      <c r="AS96" s="18"/>
      <c r="AT96" s="2" t="e">
        <f t="shared" ca="1" si="160"/>
        <v>#REF!</v>
      </c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</row>
    <row r="97" spans="1:62" x14ac:dyDescent="0.2">
      <c r="A97" s="77" t="s">
        <v>237</v>
      </c>
      <c r="B97" s="587" t="s">
        <v>168</v>
      </c>
      <c r="C97" s="584">
        <v>629.48818897637796</v>
      </c>
      <c r="D97" s="16"/>
      <c r="E97" s="17">
        <v>29.7</v>
      </c>
      <c r="F97" s="17">
        <v>0</v>
      </c>
      <c r="G97" s="393">
        <v>1771.380708661417</v>
      </c>
      <c r="H97" s="271">
        <v>117.99</v>
      </c>
      <c r="I97" s="17">
        <v>0</v>
      </c>
      <c r="J97" s="271">
        <v>108.75</v>
      </c>
      <c r="K97" s="17">
        <v>40</v>
      </c>
      <c r="L97" s="271">
        <v>88.78</v>
      </c>
      <c r="M97" s="271">
        <v>977.79</v>
      </c>
      <c r="N97" s="271">
        <v>76.08</v>
      </c>
      <c r="O97" s="58"/>
      <c r="P97" s="441">
        <f t="shared" si="147"/>
        <v>1919.070708661417</v>
      </c>
      <c r="Q97" s="441">
        <f t="shared" si="148"/>
        <v>3092.4807086614169</v>
      </c>
      <c r="R97" s="533"/>
      <c r="S97" s="441" t="e">
        <f t="shared" si="161"/>
        <v>#REF!</v>
      </c>
      <c r="T97" s="441" t="e">
        <f t="shared" si="149"/>
        <v>#REF!</v>
      </c>
      <c r="U97" s="533"/>
      <c r="V97" s="441" t="e">
        <f ca="1">MAX(V$89:V$90)+IF($B$2="mil",1,0.0254)*DDR2Specs!$B$3</f>
        <v>#NAME?</v>
      </c>
      <c r="W97" s="441" t="e">
        <f ca="1">MIN(V$89:V$90)+IF($B$2="mil",1,0.0254)*DDR2Specs!$C$3</f>
        <v>#NAME?</v>
      </c>
      <c r="X97" s="18"/>
      <c r="Y97" s="534" t="e">
        <f t="shared" ca="1" si="162"/>
        <v>#REF!</v>
      </c>
      <c r="Z97" s="447" t="e">
        <f t="shared" ca="1" si="163"/>
        <v>#REF!</v>
      </c>
      <c r="AA97" s="18"/>
      <c r="AB97" s="441" t="e">
        <f ca="1">MAX(AB$89:AB$90)+IF($B$2="mil",1,0.0254)*DDR2Specs!$E$3</f>
        <v>#NAME?</v>
      </c>
      <c r="AC97" s="441" t="e">
        <f ca="1">MIN(AB$89:AB$90)+IF($B$2="mil",1,0.0254)*DDR2Specs!$F$3</f>
        <v>#NAME?</v>
      </c>
      <c r="AD97" s="18"/>
      <c r="AE97" s="534" t="e">
        <f t="shared" ca="1" si="150"/>
        <v>#REF!</v>
      </c>
      <c r="AF97" s="447" t="e">
        <f t="shared" ca="1" si="151"/>
        <v>#REF!</v>
      </c>
      <c r="AG97" s="447" t="e">
        <f t="shared" si="152"/>
        <v>#REF!</v>
      </c>
      <c r="AH97" s="447" t="e">
        <f t="shared" si="153"/>
        <v>#REF!</v>
      </c>
      <c r="AI97" s="447" t="e">
        <f t="shared" si="164"/>
        <v>#REF!</v>
      </c>
      <c r="AJ97" s="447" t="e">
        <f t="shared" ca="1" si="154"/>
        <v>#NAME?</v>
      </c>
      <c r="AK97" s="447" t="e">
        <f t="shared" si="165"/>
        <v>#REF!</v>
      </c>
      <c r="AL97" s="447" t="e">
        <f t="shared" si="166"/>
        <v>#REF!</v>
      </c>
      <c r="AM97" s="447" t="e">
        <f t="shared" ca="1" si="167"/>
        <v>#NAME?</v>
      </c>
      <c r="AN97" s="447" t="e">
        <f t="shared" ca="1" si="155"/>
        <v>#NAME?</v>
      </c>
      <c r="AO97" s="447" t="e">
        <f t="shared" si="156"/>
        <v>#REF!</v>
      </c>
      <c r="AP97" s="447" t="e">
        <f t="shared" si="157"/>
        <v>#REF!</v>
      </c>
      <c r="AQ97" s="447" t="e">
        <f t="shared" si="158"/>
        <v>#REF!</v>
      </c>
      <c r="AR97" s="447" t="e">
        <f t="shared" si="159"/>
        <v>#REF!</v>
      </c>
      <c r="AS97" s="18"/>
      <c r="AT97" s="2" t="e">
        <f t="shared" ca="1" si="160"/>
        <v>#REF!</v>
      </c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</row>
    <row r="98" spans="1:62" x14ac:dyDescent="0.2">
      <c r="A98" s="77" t="s">
        <v>238</v>
      </c>
      <c r="B98" s="587" t="s">
        <v>424</v>
      </c>
      <c r="C98" s="584">
        <v>637.44094488188978</v>
      </c>
      <c r="D98" s="16"/>
      <c r="E98" s="17">
        <v>29.7</v>
      </c>
      <c r="F98" s="17">
        <v>0</v>
      </c>
      <c r="G98" s="393">
        <v>1838.2695275590547</v>
      </c>
      <c r="H98" s="271">
        <v>65.55</v>
      </c>
      <c r="I98" s="17">
        <v>0</v>
      </c>
      <c r="J98" s="271">
        <v>55.59</v>
      </c>
      <c r="K98" s="17">
        <v>40</v>
      </c>
      <c r="L98" s="271">
        <v>50.78</v>
      </c>
      <c r="M98" s="271">
        <v>1025.1199999999999</v>
      </c>
      <c r="N98" s="271">
        <v>67.47</v>
      </c>
      <c r="O98" s="58"/>
      <c r="P98" s="441">
        <f t="shared" si="147"/>
        <v>1933.5195275590547</v>
      </c>
      <c r="Q98" s="441">
        <f t="shared" si="148"/>
        <v>3106.9295275590543</v>
      </c>
      <c r="R98" s="533"/>
      <c r="S98" s="441" t="e">
        <f t="shared" si="161"/>
        <v>#REF!</v>
      </c>
      <c r="T98" s="441" t="e">
        <f t="shared" si="149"/>
        <v>#REF!</v>
      </c>
      <c r="U98" s="533"/>
      <c r="V98" s="441" t="e">
        <f ca="1">MAX(V$89:V$90)+IF($B$2="mil",1,0.0254)*DDR2Specs!$B$3</f>
        <v>#NAME?</v>
      </c>
      <c r="W98" s="441" t="e">
        <f ca="1">MIN(V$89:V$90)+IF($B$2="mil",1,0.0254)*DDR2Specs!$C$3</f>
        <v>#NAME?</v>
      </c>
      <c r="X98" s="18"/>
      <c r="Y98" s="534" t="e">
        <f t="shared" ca="1" si="162"/>
        <v>#REF!</v>
      </c>
      <c r="Z98" s="447" t="e">
        <f t="shared" ca="1" si="163"/>
        <v>#REF!</v>
      </c>
      <c r="AA98" s="18"/>
      <c r="AB98" s="441" t="e">
        <f ca="1">MAX(AB$89:AB$90)+IF($B$2="mil",1,0.0254)*DDR2Specs!$E$3</f>
        <v>#NAME?</v>
      </c>
      <c r="AC98" s="441" t="e">
        <f ca="1">MIN(AB$89:AB$90)+IF($B$2="mil",1,0.0254)*DDR2Specs!$F$3</f>
        <v>#NAME?</v>
      </c>
      <c r="AD98" s="18"/>
      <c r="AE98" s="534" t="e">
        <f t="shared" ca="1" si="150"/>
        <v>#REF!</v>
      </c>
      <c r="AF98" s="447" t="e">
        <f t="shared" ca="1" si="151"/>
        <v>#REF!</v>
      </c>
      <c r="AG98" s="447" t="e">
        <f t="shared" si="152"/>
        <v>#REF!</v>
      </c>
      <c r="AH98" s="447" t="e">
        <f t="shared" si="153"/>
        <v>#REF!</v>
      </c>
      <c r="AI98" s="447" t="e">
        <f t="shared" si="164"/>
        <v>#REF!</v>
      </c>
      <c r="AJ98" s="447" t="e">
        <f t="shared" ca="1" si="154"/>
        <v>#NAME?</v>
      </c>
      <c r="AK98" s="447" t="e">
        <f t="shared" si="165"/>
        <v>#REF!</v>
      </c>
      <c r="AL98" s="447" t="e">
        <f t="shared" si="166"/>
        <v>#REF!</v>
      </c>
      <c r="AM98" s="447" t="e">
        <f t="shared" ca="1" si="167"/>
        <v>#NAME?</v>
      </c>
      <c r="AN98" s="447" t="e">
        <f t="shared" ca="1" si="155"/>
        <v>#NAME?</v>
      </c>
      <c r="AO98" s="447" t="e">
        <f t="shared" si="156"/>
        <v>#REF!</v>
      </c>
      <c r="AP98" s="447" t="e">
        <f t="shared" si="157"/>
        <v>#REF!</v>
      </c>
      <c r="AQ98" s="447" t="e">
        <f t="shared" si="158"/>
        <v>#REF!</v>
      </c>
      <c r="AR98" s="447" t="e">
        <f t="shared" si="159"/>
        <v>#REF!</v>
      </c>
      <c r="AS98" s="18"/>
      <c r="AT98" s="2" t="e">
        <f t="shared" ca="1" si="160"/>
        <v>#REF!</v>
      </c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</row>
    <row r="99" spans="1:62" x14ac:dyDescent="0.2">
      <c r="A99" s="77" t="s">
        <v>239</v>
      </c>
      <c r="B99" s="587" t="s">
        <v>167</v>
      </c>
      <c r="C99" s="584">
        <v>711.69291338582684</v>
      </c>
      <c r="D99" s="16"/>
      <c r="E99" s="17">
        <v>29.7</v>
      </c>
      <c r="F99" s="17">
        <v>0</v>
      </c>
      <c r="G99" s="393">
        <v>1648.96</v>
      </c>
      <c r="H99" s="271">
        <v>73.28</v>
      </c>
      <c r="I99" s="17">
        <v>0</v>
      </c>
      <c r="J99" s="271">
        <v>55.78</v>
      </c>
      <c r="K99" s="17">
        <v>40</v>
      </c>
      <c r="L99" s="271">
        <v>90.86</v>
      </c>
      <c r="M99" s="271">
        <v>1028.57</v>
      </c>
      <c r="N99" s="271">
        <v>31.48</v>
      </c>
      <c r="O99" s="58"/>
      <c r="P99" s="441">
        <f t="shared" si="147"/>
        <v>1751.94</v>
      </c>
      <c r="Q99" s="441">
        <f t="shared" si="148"/>
        <v>2925.35</v>
      </c>
      <c r="R99" s="533"/>
      <c r="S99" s="441" t="e">
        <f t="shared" si="161"/>
        <v>#REF!</v>
      </c>
      <c r="T99" s="441" t="e">
        <f t="shared" si="149"/>
        <v>#REF!</v>
      </c>
      <c r="U99" s="533"/>
      <c r="V99" s="441" t="e">
        <f ca="1">MAX(V$89:V$90)+IF($B$2="mil",1,0.0254)*DDR2Specs!$B$3</f>
        <v>#NAME?</v>
      </c>
      <c r="W99" s="441" t="e">
        <f ca="1">MIN(V$89:V$90)+IF($B$2="mil",1,0.0254)*DDR2Specs!$C$3</f>
        <v>#NAME?</v>
      </c>
      <c r="X99" s="18"/>
      <c r="Y99" s="534" t="e">
        <f t="shared" ca="1" si="162"/>
        <v>#REF!</v>
      </c>
      <c r="Z99" s="447" t="e">
        <f t="shared" ca="1" si="163"/>
        <v>#REF!</v>
      </c>
      <c r="AA99" s="18"/>
      <c r="AB99" s="441" t="e">
        <f ca="1">MAX(AB$89:AB$90)+IF($B$2="mil",1,0.0254)*DDR2Specs!$E$3</f>
        <v>#NAME?</v>
      </c>
      <c r="AC99" s="441" t="e">
        <f ca="1">MIN(AB$89:AB$90)+IF($B$2="mil",1,0.0254)*DDR2Specs!$F$3</f>
        <v>#NAME?</v>
      </c>
      <c r="AD99" s="18"/>
      <c r="AE99" s="534" t="e">
        <f t="shared" ca="1" si="150"/>
        <v>#REF!</v>
      </c>
      <c r="AF99" s="447" t="e">
        <f t="shared" ca="1" si="151"/>
        <v>#REF!</v>
      </c>
      <c r="AG99" s="447" t="e">
        <f t="shared" si="152"/>
        <v>#REF!</v>
      </c>
      <c r="AH99" s="447" t="e">
        <f t="shared" si="153"/>
        <v>#REF!</v>
      </c>
      <c r="AI99" s="447" t="e">
        <f t="shared" si="164"/>
        <v>#REF!</v>
      </c>
      <c r="AJ99" s="447" t="e">
        <f t="shared" ca="1" si="154"/>
        <v>#NAME?</v>
      </c>
      <c r="AK99" s="447" t="e">
        <f t="shared" si="165"/>
        <v>#REF!</v>
      </c>
      <c r="AL99" s="447" t="e">
        <f t="shared" si="166"/>
        <v>#REF!</v>
      </c>
      <c r="AM99" s="447" t="e">
        <f t="shared" ca="1" si="167"/>
        <v>#NAME?</v>
      </c>
      <c r="AN99" s="447" t="e">
        <f t="shared" ca="1" si="155"/>
        <v>#NAME?</v>
      </c>
      <c r="AO99" s="447" t="e">
        <f t="shared" si="156"/>
        <v>#REF!</v>
      </c>
      <c r="AP99" s="447" t="e">
        <f t="shared" si="157"/>
        <v>#REF!</v>
      </c>
      <c r="AQ99" s="447" t="e">
        <f t="shared" si="158"/>
        <v>#REF!</v>
      </c>
      <c r="AR99" s="447" t="e">
        <f t="shared" si="159"/>
        <v>#REF!</v>
      </c>
      <c r="AS99" s="18"/>
      <c r="AT99" s="2" t="e">
        <f t="shared" ca="1" si="160"/>
        <v>#REF!</v>
      </c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</row>
    <row r="100" spans="1:62" ht="12.75" customHeight="1" x14ac:dyDescent="0.2">
      <c r="A100" s="99"/>
      <c r="B100" s="440"/>
      <c r="C100" s="111"/>
      <c r="D100" s="70"/>
      <c r="E100" s="71"/>
      <c r="F100" s="71"/>
      <c r="G100" s="71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544"/>
      <c r="S100" s="71"/>
      <c r="T100" s="71"/>
      <c r="U100" s="544"/>
      <c r="V100" s="71"/>
      <c r="W100" s="71"/>
      <c r="X100" s="71"/>
      <c r="Y100" s="545"/>
      <c r="Z100" s="546"/>
      <c r="AA100" s="71"/>
      <c r="AB100" s="71"/>
      <c r="AC100" s="71"/>
      <c r="AD100" s="71"/>
      <c r="AE100" s="545"/>
      <c r="AF100" s="546"/>
      <c r="AG100" s="546"/>
      <c r="AH100" s="547"/>
      <c r="AI100" s="548"/>
      <c r="AJ100" s="548"/>
      <c r="AK100" s="548"/>
      <c r="AL100" s="548"/>
      <c r="AM100" s="548"/>
      <c r="AN100" s="548"/>
      <c r="AO100" s="548"/>
      <c r="AP100" s="548"/>
      <c r="AQ100" s="548"/>
      <c r="AR100" s="548"/>
      <c r="AS100" s="18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</row>
    <row r="101" spans="1:62" ht="25.5" x14ac:dyDescent="0.35">
      <c r="A101" s="39" t="s">
        <v>57</v>
      </c>
    </row>
    <row r="103" spans="1:62" x14ac:dyDescent="0.2">
      <c r="Q103"/>
      <c r="S103"/>
      <c r="U103" s="4"/>
      <c r="X103" s="3"/>
      <c r="Z103" s="4"/>
      <c r="AD103" s="3"/>
      <c r="AF103" s="4"/>
      <c r="AH103" s="22"/>
      <c r="AU103" s="4"/>
      <c r="AV103" s="22"/>
      <c r="BB103" s="4"/>
      <c r="BC103" s="22"/>
      <c r="BF103" s="4"/>
      <c r="BG103" s="22"/>
      <c r="BJ103" s="2"/>
    </row>
    <row r="104" spans="1:62" x14ac:dyDescent="0.2">
      <c r="Q104"/>
      <c r="S104" s="4"/>
      <c r="T104" s="4"/>
      <c r="U104" s="4"/>
      <c r="V104" s="3"/>
      <c r="W104" s="3"/>
      <c r="Y104" s="4"/>
      <c r="Z104" s="4"/>
      <c r="AB104" s="3"/>
      <c r="AC104" s="3"/>
      <c r="AE104" s="4"/>
      <c r="AF104" s="22"/>
      <c r="AG104" s="22"/>
      <c r="AH104" s="22"/>
      <c r="AS104" s="4"/>
      <c r="AV104" s="22"/>
      <c r="AZ104" s="4"/>
      <c r="BC104" s="22"/>
      <c r="BD104" s="4"/>
      <c r="BG104" s="22"/>
      <c r="BH104" s="2"/>
      <c r="BI104" s="2"/>
      <c r="BJ104" s="2"/>
    </row>
    <row r="105" spans="1:62" x14ac:dyDescent="0.2">
      <c r="Q105"/>
      <c r="S105" s="4"/>
      <c r="T105" s="4"/>
      <c r="U105" s="4"/>
      <c r="V105" s="3"/>
      <c r="W105" s="3"/>
      <c r="Y105" s="4"/>
      <c r="Z105" s="4"/>
      <c r="AB105" s="3"/>
      <c r="AC105" s="3"/>
      <c r="AE105" s="4"/>
      <c r="AF105" s="22"/>
      <c r="AG105" s="22"/>
      <c r="AH105" s="22"/>
      <c r="AS105" s="4"/>
      <c r="AV105" s="22"/>
      <c r="AZ105" s="4"/>
      <c r="BC105" s="22"/>
      <c r="BD105" s="4"/>
      <c r="BG105" s="22"/>
      <c r="BH105" s="2"/>
      <c r="BI105" s="2"/>
      <c r="BJ105" s="2"/>
    </row>
    <row r="106" spans="1:62" x14ac:dyDescent="0.2">
      <c r="H106" s="2"/>
      <c r="I106" s="2"/>
      <c r="J106" s="2"/>
      <c r="K106" s="2"/>
      <c r="L106" s="2"/>
      <c r="M106" s="2"/>
      <c r="N106" s="2"/>
      <c r="P106" s="2"/>
      <c r="Q106"/>
      <c r="S106"/>
      <c r="U106" s="4"/>
      <c r="X106" s="3"/>
      <c r="Z106" s="4"/>
      <c r="AD106" s="3"/>
      <c r="AF106" s="4"/>
      <c r="AH106" s="22"/>
      <c r="AU106" s="4"/>
      <c r="AV106" s="22"/>
      <c r="BB106" s="4"/>
      <c r="BC106" s="22"/>
      <c r="BF106" s="4"/>
      <c r="BG106" s="22"/>
      <c r="BJ106" s="2"/>
    </row>
    <row r="107" spans="1:62" x14ac:dyDescent="0.2">
      <c r="Q107"/>
      <c r="S107"/>
      <c r="U107" s="4"/>
      <c r="X107" s="3"/>
      <c r="Z107" s="4"/>
      <c r="AD107" s="3"/>
      <c r="AF107" s="4"/>
      <c r="AH107" s="22"/>
      <c r="AU107" s="4"/>
      <c r="AV107" s="22"/>
      <c r="BB107" s="4"/>
      <c r="BC107" s="22"/>
      <c r="BF107" s="4"/>
      <c r="BG107" s="22"/>
      <c r="BJ107" s="2"/>
    </row>
    <row r="108" spans="1:62" x14ac:dyDescent="0.2">
      <c r="Q108"/>
      <c r="S108"/>
      <c r="U108" s="4"/>
      <c r="X108" s="3"/>
      <c r="Z108" s="4"/>
      <c r="AD108" s="3"/>
      <c r="AF108" s="4"/>
      <c r="AH108" s="22"/>
      <c r="AU108" s="4"/>
      <c r="AV108" s="22"/>
      <c r="BB108" s="4"/>
      <c r="BC108" s="22"/>
      <c r="BF108" s="4"/>
      <c r="BG108" s="22"/>
      <c r="BJ108" s="2"/>
    </row>
    <row r="109" spans="1:62" x14ac:dyDescent="0.2">
      <c r="Q109"/>
      <c r="S109"/>
      <c r="U109" s="4"/>
      <c r="X109" s="3"/>
      <c r="Z109" s="4"/>
      <c r="AD109" s="3"/>
      <c r="AF109" s="4"/>
      <c r="AH109" s="22"/>
      <c r="AU109" s="4"/>
      <c r="AV109" s="22"/>
      <c r="BB109" s="4"/>
      <c r="BC109" s="22"/>
      <c r="BF109" s="4"/>
      <c r="BG109" s="22"/>
      <c r="BJ109" s="2"/>
    </row>
    <row r="110" spans="1:62" x14ac:dyDescent="0.2">
      <c r="Q110"/>
      <c r="S110"/>
      <c r="U110" s="4"/>
      <c r="X110" s="3"/>
      <c r="Z110" s="4"/>
      <c r="AD110" s="3"/>
      <c r="AF110" s="4"/>
      <c r="AH110" s="22"/>
      <c r="AU110" s="4"/>
      <c r="AV110" s="22"/>
      <c r="BB110" s="4"/>
      <c r="BC110" s="22"/>
      <c r="BF110" s="4"/>
      <c r="BG110" s="22"/>
      <c r="BJ110" s="2"/>
    </row>
    <row r="111" spans="1:62" x14ac:dyDescent="0.2">
      <c r="U111" s="4"/>
      <c r="X111" s="3"/>
      <c r="Z111" s="4"/>
      <c r="AD111" s="3"/>
      <c r="AF111" s="4"/>
      <c r="AH111" s="22"/>
      <c r="AU111" s="4"/>
      <c r="AV111" s="22"/>
      <c r="BB111" s="4"/>
      <c r="BC111" s="22"/>
      <c r="BF111" s="4"/>
      <c r="BG111" s="22"/>
      <c r="BJ111" s="2"/>
    </row>
  </sheetData>
  <protectedRanges>
    <protectedRange sqref="E7:N15 E19:N27 E31:N39 E43:N51 E55:N63 E67:N75 E79:N87 E91:N99" name="DDR2Data_1L"/>
  </protectedRanges>
  <mergeCells count="2">
    <mergeCell ref="A1:D1"/>
    <mergeCell ref="E1:F1"/>
  </mergeCells>
  <phoneticPr fontId="25" type="noConversion"/>
  <conditionalFormatting sqref="A1:AS1">
    <cfRule type="expression" dxfId="39" priority="7" stopIfTrue="1">
      <formula>$E$1 = "Fail"</formula>
    </cfRule>
    <cfRule type="expression" dxfId="38" priority="8" stopIfTrue="1">
      <formula>$E$1 = "Pass"</formula>
    </cfRule>
  </conditionalFormatting>
  <conditionalFormatting sqref="S7:T15 S19:T27 S31:T39 S43:T51 S55:T63 S67:T75 S79:T87 S91:T99">
    <cfRule type="cellIs" dxfId="37" priority="5" stopIfTrue="1" operator="greaterThan">
      <formula>4000</formula>
    </cfRule>
    <cfRule type="cellIs" dxfId="36" priority="6" stopIfTrue="1" operator="lessThan">
      <formula>4000</formula>
    </cfRule>
  </conditionalFormatting>
  <conditionalFormatting sqref="Y7:Z15 AE7:AF15 Y19:Z27 AE19:AF27 Y31:Z39 AE31:AF39 Y43:Z51 AE43:AF51 Y55:Z63 AE55:AF63 Y67:Z75 AE67:AF75 Y79:Z87 AE79:AF87 Y91:Z99 AE91:AF99">
    <cfRule type="cellIs" priority="3" stopIfTrue="1" operator="equal">
      <formula>"Pass"</formula>
    </cfRule>
    <cfRule type="cellIs" dxfId="35" priority="4" stopIfTrue="1" operator="notEqual">
      <formula>"Pass"</formula>
    </cfRule>
  </conditionalFormatting>
  <conditionalFormatting sqref="AG7:AR15 AG19:AR27 AG31:AR39 AG43:AR51 AG55:AR63 AG67:AR75 AG79:AR87 AG91:AR99">
    <cfRule type="cellIs" dxfId="34" priority="1" stopIfTrue="1" operator="equal">
      <formula>"Pass"</formula>
    </cfRule>
    <cfRule type="cellIs" dxfId="33" priority="2" stopIfTrue="1" operator="notEqual">
      <formula>"Pass"</formula>
    </cfRule>
  </conditionalFormatting>
  <pageMargins left="0.75" right="0.75" top="1" bottom="1" header="0.5" footer="0.5"/>
  <pageSetup paperSize="9" orientation="portrait" verticalDpi="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Visio.Drawing.11" shapeId="28675" r:id="rId4">
          <objectPr defaultSize="0" autoPict="0" r:id="rId5">
            <anchor moveWithCells="1">
              <from>
                <xdr:col>4</xdr:col>
                <xdr:colOff>0</xdr:colOff>
                <xdr:row>102</xdr:row>
                <xdr:rowOff>0</xdr:rowOff>
              </from>
              <to>
                <xdr:col>13</xdr:col>
                <xdr:colOff>561975</xdr:colOff>
                <xdr:row>113</xdr:row>
                <xdr:rowOff>28575</xdr:rowOff>
              </to>
            </anchor>
          </objectPr>
        </oleObject>
      </mc:Choice>
      <mc:Fallback>
        <oleObject progId="Visio.Drawing.11" shapeId="28675" r:id="rId4"/>
      </mc:Fallback>
    </mc:AlternateContent>
  </oleObject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4"/>
  <dimension ref="A1:F65"/>
  <sheetViews>
    <sheetView workbookViewId="0">
      <selection activeCell="AS27" sqref="AS27"/>
    </sheetView>
  </sheetViews>
  <sheetFormatPr defaultRowHeight="12.75" x14ac:dyDescent="0.2"/>
  <cols>
    <col min="1" max="1" width="35.140625" style="2" bestFit="1" customWidth="1"/>
    <col min="2" max="2" width="8.85546875" style="61" bestFit="1" customWidth="1"/>
    <col min="3" max="3" width="7.85546875" style="61" bestFit="1" customWidth="1"/>
    <col min="4" max="4" width="28" style="2" bestFit="1" customWidth="1"/>
    <col min="5" max="6" width="7.140625" style="2" bestFit="1" customWidth="1"/>
    <col min="7" max="16384" width="9.140625" style="2"/>
  </cols>
  <sheetData>
    <row r="1" spans="1:6" x14ac:dyDescent="0.2">
      <c r="A1" s="72" t="s">
        <v>283</v>
      </c>
      <c r="B1" s="73" t="s">
        <v>59</v>
      </c>
      <c r="C1" s="73" t="s">
        <v>60</v>
      </c>
      <c r="D1" s="72" t="s">
        <v>284</v>
      </c>
      <c r="E1" s="73" t="s">
        <v>59</v>
      </c>
      <c r="F1" s="73" t="s">
        <v>60</v>
      </c>
    </row>
    <row r="2" spans="1:6" x14ac:dyDescent="0.2">
      <c r="A2" s="77" t="s">
        <v>561</v>
      </c>
      <c r="B2" s="74">
        <v>-500</v>
      </c>
      <c r="C2" s="75">
        <v>500</v>
      </c>
      <c r="D2" s="77" t="s">
        <v>560</v>
      </c>
      <c r="E2" s="74">
        <v>-500</v>
      </c>
      <c r="F2" s="75">
        <v>1500</v>
      </c>
    </row>
    <row r="3" spans="1:6" x14ac:dyDescent="0.2">
      <c r="A3" s="77" t="s">
        <v>242</v>
      </c>
      <c r="B3" s="75">
        <v>-210</v>
      </c>
      <c r="C3" s="75">
        <v>-190</v>
      </c>
      <c r="D3" s="77" t="s">
        <v>242</v>
      </c>
      <c r="E3" s="75">
        <v>-210</v>
      </c>
      <c r="F3" s="75">
        <v>-190</v>
      </c>
    </row>
    <row r="5" spans="1:6" x14ac:dyDescent="0.2">
      <c r="A5" s="72" t="s">
        <v>283</v>
      </c>
      <c r="B5" s="73" t="s">
        <v>59</v>
      </c>
      <c r="C5" s="73" t="s">
        <v>60</v>
      </c>
      <c r="D5" s="72" t="s">
        <v>284</v>
      </c>
      <c r="E5" s="73" t="s">
        <v>59</v>
      </c>
      <c r="F5" s="73" t="s">
        <v>60</v>
      </c>
    </row>
    <row r="6" spans="1:6" x14ac:dyDescent="0.2">
      <c r="A6" s="77" t="s">
        <v>253</v>
      </c>
      <c r="B6" s="75">
        <v>-1000</v>
      </c>
      <c r="C6" s="75">
        <v>0</v>
      </c>
      <c r="D6" s="77" t="s">
        <v>558</v>
      </c>
      <c r="E6" s="75">
        <v>0</v>
      </c>
      <c r="F6" s="75">
        <v>2000</v>
      </c>
    </row>
    <row r="7" spans="1:6" x14ac:dyDescent="0.2">
      <c r="E7" s="61"/>
      <c r="F7" s="61"/>
    </row>
    <row r="8" spans="1:6" x14ac:dyDescent="0.2">
      <c r="A8" s="72" t="s">
        <v>283</v>
      </c>
      <c r="B8" s="73" t="s">
        <v>59</v>
      </c>
      <c r="C8" s="73" t="s">
        <v>60</v>
      </c>
      <c r="D8" s="72" t="s">
        <v>284</v>
      </c>
      <c r="E8" s="73" t="s">
        <v>59</v>
      </c>
      <c r="F8" s="73" t="s">
        <v>60</v>
      </c>
    </row>
    <row r="9" spans="1:6" x14ac:dyDescent="0.2">
      <c r="A9" s="77" t="s">
        <v>243</v>
      </c>
      <c r="B9" s="75">
        <v>-1000</v>
      </c>
      <c r="C9" s="75">
        <v>1000</v>
      </c>
      <c r="D9" s="77" t="s">
        <v>559</v>
      </c>
      <c r="E9" s="75">
        <v>0</v>
      </c>
      <c r="F9" s="75">
        <v>2000</v>
      </c>
    </row>
    <row r="11" spans="1:6" x14ac:dyDescent="0.2">
      <c r="A11" s="2" t="s">
        <v>240</v>
      </c>
    </row>
    <row r="12" spans="1:6" x14ac:dyDescent="0.2">
      <c r="A12" s="2" t="s">
        <v>57</v>
      </c>
    </row>
    <row r="22" hidden="1" x14ac:dyDescent="0.2"/>
    <row r="23" hidden="1" x14ac:dyDescent="0.2"/>
    <row r="24" hidden="1" x14ac:dyDescent="0.2"/>
    <row r="25" hidden="1" x14ac:dyDescent="0.2"/>
    <row r="26" hidden="1" x14ac:dyDescent="0.2"/>
    <row r="27" hidden="1" x14ac:dyDescent="0.2"/>
    <row r="28" hidden="1" x14ac:dyDescent="0.2"/>
    <row r="29" hidden="1" x14ac:dyDescent="0.2"/>
    <row r="30" hidden="1" x14ac:dyDescent="0.2"/>
    <row r="31" hidden="1" x14ac:dyDescent="0.2"/>
    <row r="32" hidden="1" x14ac:dyDescent="0.2"/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</sheetData>
  <phoneticPr fontId="4" type="noConversion"/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tabColor rgb="FFFFFF00"/>
  </sheetPr>
  <dimension ref="A1:L49"/>
  <sheetViews>
    <sheetView workbookViewId="0">
      <selection activeCell="F15" sqref="F15"/>
    </sheetView>
  </sheetViews>
  <sheetFormatPr defaultColWidth="10.28515625" defaultRowHeight="16.5" x14ac:dyDescent="0.25"/>
  <cols>
    <col min="1" max="1" width="38.85546875" style="729" customWidth="1"/>
    <col min="2" max="2" width="29.140625" style="729" customWidth="1"/>
    <col min="3" max="3" width="26.42578125" style="729" customWidth="1"/>
    <col min="4" max="4" width="23.85546875" style="729" customWidth="1"/>
    <col min="5" max="5" width="26.7109375" style="729" customWidth="1"/>
    <col min="6" max="6" width="23.7109375" style="729" customWidth="1"/>
    <col min="7" max="7" width="31.7109375" style="729" customWidth="1"/>
    <col min="8" max="8" width="19.85546875" style="729" customWidth="1"/>
    <col min="9" max="9" width="32.140625" style="729" customWidth="1"/>
    <col min="10" max="10" width="17.7109375" style="729" customWidth="1"/>
    <col min="11" max="11" width="21.7109375" style="729" customWidth="1"/>
    <col min="12" max="12" width="21.140625" style="729" customWidth="1"/>
    <col min="13" max="16384" width="10.28515625" style="729"/>
  </cols>
  <sheetData>
    <row r="1" spans="1:12" ht="33" thickBot="1" x14ac:dyDescent="0.5">
      <c r="A1" s="726" t="s">
        <v>863</v>
      </c>
      <c r="B1" s="727"/>
      <c r="C1" s="728"/>
      <c r="D1" s="727"/>
      <c r="E1" s="727"/>
      <c r="F1" s="727"/>
    </row>
    <row r="2" spans="1:12" ht="34.5" thickTop="1" thickBot="1" x14ac:dyDescent="0.3">
      <c r="A2" s="730" t="s">
        <v>657</v>
      </c>
      <c r="B2" s="731" t="s">
        <v>1038</v>
      </c>
      <c r="C2" s="732" t="s">
        <v>3</v>
      </c>
      <c r="D2" s="733" t="s">
        <v>1039</v>
      </c>
      <c r="E2" s="733" t="s">
        <v>759</v>
      </c>
      <c r="F2" s="734" t="s">
        <v>758</v>
      </c>
      <c r="G2" s="735" t="s">
        <v>2</v>
      </c>
      <c r="H2" s="736" t="s">
        <v>738</v>
      </c>
      <c r="I2" s="736" t="s">
        <v>4</v>
      </c>
      <c r="J2" s="737" t="s">
        <v>739</v>
      </c>
      <c r="K2" s="732" t="s">
        <v>708</v>
      </c>
      <c r="L2" s="738" t="s">
        <v>757</v>
      </c>
    </row>
    <row r="3" spans="1:12" ht="17.25" customHeight="1" thickTop="1" thickBot="1" x14ac:dyDescent="0.3">
      <c r="A3" s="739" t="s">
        <v>1106</v>
      </c>
      <c r="B3" s="857" t="s">
        <v>1106</v>
      </c>
      <c r="C3" s="740">
        <v>5500</v>
      </c>
      <c r="D3" s="1040">
        <v>1041.93</v>
      </c>
      <c r="E3" s="741">
        <f t="shared" ref="E3:E20" si="0">C3-D3</f>
        <v>4458.07</v>
      </c>
      <c r="F3" s="742"/>
      <c r="G3" s="743" t="s">
        <v>637</v>
      </c>
      <c r="H3" s="742"/>
      <c r="I3" s="901" t="s">
        <v>894</v>
      </c>
      <c r="J3" s="906">
        <v>2</v>
      </c>
      <c r="K3" s="901" t="s">
        <v>861</v>
      </c>
      <c r="L3" s="921">
        <v>15</v>
      </c>
    </row>
    <row r="4" spans="1:12" ht="19.5" customHeight="1" thickTop="1" thickBot="1" x14ac:dyDescent="0.3">
      <c r="A4" s="744" t="s">
        <v>1105</v>
      </c>
      <c r="B4" s="837" t="s">
        <v>1105</v>
      </c>
      <c r="C4" s="740">
        <v>5500</v>
      </c>
      <c r="D4" s="1041">
        <v>1043.1099999999999</v>
      </c>
      <c r="E4" s="746">
        <f t="shared" si="0"/>
        <v>4456.8900000000003</v>
      </c>
      <c r="F4" s="747"/>
      <c r="G4" s="748">
        <f>F3-F4</f>
        <v>0</v>
      </c>
      <c r="H4" s="747"/>
      <c r="I4" s="902"/>
      <c r="J4" s="907"/>
      <c r="K4" s="902"/>
      <c r="L4" s="922"/>
    </row>
    <row r="5" spans="1:12" ht="18" thickTop="1" thickBot="1" x14ac:dyDescent="0.3">
      <c r="A5" s="739" t="s">
        <v>1108</v>
      </c>
      <c r="B5" s="857" t="s">
        <v>1108</v>
      </c>
      <c r="C5" s="740">
        <v>5500</v>
      </c>
      <c r="D5" s="1042">
        <v>1044.93</v>
      </c>
      <c r="E5" s="741">
        <f t="shared" si="0"/>
        <v>4455.07</v>
      </c>
      <c r="F5" s="749"/>
      <c r="G5" s="750">
        <f>F3-F5</f>
        <v>0</v>
      </c>
      <c r="H5" s="749"/>
      <c r="I5" s="902"/>
      <c r="J5" s="907"/>
      <c r="K5" s="902"/>
      <c r="L5" s="922"/>
    </row>
    <row r="6" spans="1:12" ht="18" thickTop="1" thickBot="1" x14ac:dyDescent="0.3">
      <c r="A6" s="744" t="s">
        <v>1107</v>
      </c>
      <c r="B6" s="837" t="s">
        <v>1107</v>
      </c>
      <c r="C6" s="740">
        <v>5500</v>
      </c>
      <c r="D6" s="1043">
        <v>1043.0899999999999</v>
      </c>
      <c r="E6" s="746">
        <f t="shared" si="0"/>
        <v>4456.91</v>
      </c>
      <c r="F6" s="751"/>
      <c r="G6" s="752">
        <f>F5-F6</f>
        <v>0</v>
      </c>
      <c r="H6" s="751"/>
      <c r="I6" s="902"/>
      <c r="J6" s="907"/>
      <c r="K6" s="902"/>
      <c r="L6" s="922"/>
    </row>
    <row r="7" spans="1:12" ht="18" thickTop="1" thickBot="1" x14ac:dyDescent="0.3">
      <c r="A7" s="739" t="s">
        <v>1110</v>
      </c>
      <c r="B7" s="857" t="s">
        <v>1110</v>
      </c>
      <c r="C7" s="740">
        <v>5500</v>
      </c>
      <c r="D7" s="1040">
        <v>1043.57</v>
      </c>
      <c r="E7" s="741">
        <f t="shared" si="0"/>
        <v>4456.43</v>
      </c>
      <c r="F7" s="742"/>
      <c r="G7" s="743">
        <f>F3-F7</f>
        <v>0</v>
      </c>
      <c r="H7" s="742"/>
      <c r="I7" s="902"/>
      <c r="J7" s="907"/>
      <c r="K7" s="902"/>
      <c r="L7" s="922"/>
    </row>
    <row r="8" spans="1:12" ht="18" thickTop="1" thickBot="1" x14ac:dyDescent="0.3">
      <c r="A8" s="744" t="s">
        <v>1109</v>
      </c>
      <c r="B8" s="837" t="s">
        <v>1109</v>
      </c>
      <c r="C8" s="740">
        <v>5500</v>
      </c>
      <c r="D8" s="1041">
        <v>1043.54</v>
      </c>
      <c r="E8" s="746">
        <f t="shared" si="0"/>
        <v>4456.46</v>
      </c>
      <c r="F8" s="747"/>
      <c r="G8" s="748">
        <f>F7-F8</f>
        <v>0</v>
      </c>
      <c r="H8" s="747"/>
      <c r="I8" s="902"/>
      <c r="J8" s="907"/>
      <c r="K8" s="902"/>
      <c r="L8" s="922"/>
    </row>
    <row r="9" spans="1:12" ht="18" thickTop="1" thickBot="1" x14ac:dyDescent="0.3">
      <c r="A9" s="739" t="s">
        <v>1112</v>
      </c>
      <c r="B9" s="857" t="s">
        <v>1112</v>
      </c>
      <c r="C9" s="740">
        <v>5500</v>
      </c>
      <c r="D9" s="1040">
        <v>1043.77</v>
      </c>
      <c r="E9" s="741">
        <f t="shared" si="0"/>
        <v>4456.2299999999996</v>
      </c>
      <c r="F9" s="742"/>
      <c r="G9" s="743">
        <f>F5-F9</f>
        <v>0</v>
      </c>
      <c r="H9" s="742"/>
      <c r="I9" s="902"/>
      <c r="J9" s="907"/>
      <c r="K9" s="902"/>
      <c r="L9" s="922"/>
    </row>
    <row r="10" spans="1:12" ht="18" thickTop="1" thickBot="1" x14ac:dyDescent="0.3">
      <c r="A10" s="744" t="s">
        <v>1111</v>
      </c>
      <c r="B10" s="837" t="s">
        <v>1111</v>
      </c>
      <c r="C10" s="740">
        <v>5500</v>
      </c>
      <c r="D10" s="1041">
        <v>1043.01</v>
      </c>
      <c r="E10" s="746">
        <f t="shared" si="0"/>
        <v>4456.99</v>
      </c>
      <c r="F10" s="747"/>
      <c r="G10" s="748">
        <f>F9-F10</f>
        <v>0</v>
      </c>
      <c r="H10" s="747"/>
      <c r="I10" s="902"/>
      <c r="J10" s="907"/>
      <c r="K10" s="902"/>
      <c r="L10" s="922"/>
    </row>
    <row r="11" spans="1:12" ht="17.25" thickTop="1" x14ac:dyDescent="0.25">
      <c r="A11" s="753" t="s">
        <v>31</v>
      </c>
      <c r="B11" s="815" t="s">
        <v>1006</v>
      </c>
      <c r="C11" s="740"/>
      <c r="D11" s="1044"/>
      <c r="E11" s="741">
        <f t="shared" si="0"/>
        <v>0</v>
      </c>
      <c r="F11" s="742"/>
      <c r="G11" s="743">
        <f>F7-F11</f>
        <v>0</v>
      </c>
      <c r="H11" s="742"/>
      <c r="I11" s="902"/>
      <c r="J11" s="907"/>
      <c r="K11" s="902"/>
      <c r="L11" s="922"/>
    </row>
    <row r="12" spans="1:12" ht="17.25" thickBot="1" x14ac:dyDescent="0.3">
      <c r="A12" s="754" t="s">
        <v>32</v>
      </c>
      <c r="B12" s="836" t="s">
        <v>849</v>
      </c>
      <c r="C12" s="745"/>
      <c r="D12" s="1045"/>
      <c r="E12" s="746">
        <f t="shared" si="0"/>
        <v>0</v>
      </c>
      <c r="F12" s="751"/>
      <c r="G12" s="752">
        <f>F11-F12</f>
        <v>0</v>
      </c>
      <c r="H12" s="751"/>
      <c r="I12" s="902"/>
      <c r="J12" s="907"/>
      <c r="K12" s="902"/>
      <c r="L12" s="922"/>
    </row>
    <row r="13" spans="1:12" ht="17.25" thickTop="1" x14ac:dyDescent="0.25">
      <c r="A13" s="753" t="s">
        <v>27</v>
      </c>
      <c r="B13" s="815" t="s">
        <v>849</v>
      </c>
      <c r="C13" s="740"/>
      <c r="D13" s="1044"/>
      <c r="E13" s="741">
        <f t="shared" si="0"/>
        <v>0</v>
      </c>
      <c r="F13" s="742"/>
      <c r="G13" s="743">
        <f>F7-F13</f>
        <v>0</v>
      </c>
      <c r="H13" s="742"/>
      <c r="I13" s="902"/>
      <c r="J13" s="907"/>
      <c r="K13" s="902"/>
      <c r="L13" s="922"/>
    </row>
    <row r="14" spans="1:12" ht="17.25" thickBot="1" x14ac:dyDescent="0.3">
      <c r="A14" s="754" t="s">
        <v>28</v>
      </c>
      <c r="B14" s="835" t="s">
        <v>849</v>
      </c>
      <c r="C14" s="745"/>
      <c r="D14" s="1046"/>
      <c r="E14" s="746">
        <f t="shared" si="0"/>
        <v>0</v>
      </c>
      <c r="F14" s="747"/>
      <c r="G14" s="748">
        <f>F13-F14</f>
        <v>0</v>
      </c>
      <c r="H14" s="747"/>
      <c r="I14" s="902"/>
      <c r="J14" s="907"/>
      <c r="K14" s="902"/>
      <c r="L14" s="922"/>
    </row>
    <row r="15" spans="1:12" ht="17.25" thickTop="1" x14ac:dyDescent="0.25">
      <c r="A15" s="753" t="s">
        <v>29</v>
      </c>
      <c r="B15" s="815" t="s">
        <v>849</v>
      </c>
      <c r="C15" s="740"/>
      <c r="D15" s="1044"/>
      <c r="E15" s="741">
        <f t="shared" si="0"/>
        <v>0</v>
      </c>
      <c r="F15" s="742"/>
      <c r="G15" s="743">
        <f>F9-F15</f>
        <v>0</v>
      </c>
      <c r="H15" s="742"/>
      <c r="I15" s="902"/>
      <c r="J15" s="907"/>
      <c r="K15" s="902"/>
      <c r="L15" s="922"/>
    </row>
    <row r="16" spans="1:12" ht="17.25" thickBot="1" x14ac:dyDescent="0.3">
      <c r="A16" s="754" t="s">
        <v>30</v>
      </c>
      <c r="B16" s="835" t="s">
        <v>849</v>
      </c>
      <c r="C16" s="745"/>
      <c r="D16" s="1046"/>
      <c r="E16" s="746">
        <f t="shared" si="0"/>
        <v>0</v>
      </c>
      <c r="F16" s="747"/>
      <c r="G16" s="748">
        <f>F15-F16</f>
        <v>0</v>
      </c>
      <c r="H16" s="747"/>
      <c r="I16" s="903"/>
      <c r="J16" s="908"/>
      <c r="K16" s="903"/>
      <c r="L16" s="923"/>
    </row>
    <row r="17" spans="1:12" ht="29.25" thickTop="1" x14ac:dyDescent="0.25">
      <c r="A17" s="755" t="s">
        <v>1114</v>
      </c>
      <c r="B17" s="834" t="s">
        <v>1010</v>
      </c>
      <c r="C17" s="740">
        <v>10000</v>
      </c>
      <c r="D17" s="1040">
        <v>4506.83</v>
      </c>
      <c r="E17" s="741">
        <f t="shared" si="0"/>
        <v>5493.17</v>
      </c>
      <c r="F17" s="742"/>
      <c r="G17" s="743" t="s">
        <v>637</v>
      </c>
      <c r="H17" s="742"/>
      <c r="I17" s="904" t="s">
        <v>646</v>
      </c>
      <c r="J17" s="918">
        <v>2</v>
      </c>
      <c r="K17" s="913" t="s">
        <v>706</v>
      </c>
      <c r="L17" s="911">
        <v>30</v>
      </c>
    </row>
    <row r="18" spans="1:12" ht="29.25" thickBot="1" x14ac:dyDescent="0.3">
      <c r="A18" s="754" t="s">
        <v>1113</v>
      </c>
      <c r="B18" s="833" t="s">
        <v>1011</v>
      </c>
      <c r="C18" s="745">
        <v>10000</v>
      </c>
      <c r="D18" s="1041">
        <v>4854.9799999999996</v>
      </c>
      <c r="E18" s="746">
        <f t="shared" si="0"/>
        <v>5145.0200000000004</v>
      </c>
      <c r="F18" s="747"/>
      <c r="G18" s="748">
        <f>F17-F18</f>
        <v>0</v>
      </c>
      <c r="H18" s="747"/>
      <c r="I18" s="905"/>
      <c r="J18" s="919"/>
      <c r="K18" s="914"/>
      <c r="L18" s="912"/>
    </row>
    <row r="19" spans="1:12" ht="29.25" thickTop="1" x14ac:dyDescent="0.25">
      <c r="A19" s="755" t="s">
        <v>1114</v>
      </c>
      <c r="B19" s="834" t="s">
        <v>1012</v>
      </c>
      <c r="C19" s="756">
        <v>10000</v>
      </c>
      <c r="D19" s="1047">
        <v>1337.07</v>
      </c>
      <c r="E19" s="757">
        <f t="shared" si="0"/>
        <v>8662.93</v>
      </c>
      <c r="F19" s="758"/>
      <c r="G19" s="759" t="s">
        <v>637</v>
      </c>
      <c r="H19" s="758"/>
      <c r="I19" s="920" t="s">
        <v>655</v>
      </c>
      <c r="J19" s="909">
        <v>2</v>
      </c>
      <c r="K19" s="913" t="s">
        <v>861</v>
      </c>
      <c r="L19" s="911">
        <v>15</v>
      </c>
    </row>
    <row r="20" spans="1:12" ht="29.25" thickBot="1" x14ac:dyDescent="0.3">
      <c r="A20" s="754" t="s">
        <v>1113</v>
      </c>
      <c r="B20" s="833" t="s">
        <v>1013</v>
      </c>
      <c r="C20" s="745">
        <v>10000</v>
      </c>
      <c r="D20" s="1048">
        <v>1338.69</v>
      </c>
      <c r="E20" s="760">
        <f t="shared" si="0"/>
        <v>8661.31</v>
      </c>
      <c r="F20" s="761"/>
      <c r="G20" s="762">
        <f>F19-F20</f>
        <v>0</v>
      </c>
      <c r="H20" s="761"/>
      <c r="I20" s="915"/>
      <c r="J20" s="910"/>
      <c r="K20" s="915"/>
      <c r="L20" s="912"/>
    </row>
    <row r="21" spans="1:12" ht="18" thickTop="1" thickBot="1" x14ac:dyDescent="0.3"/>
    <row r="22" spans="1:12" ht="34.5" thickTop="1" thickBot="1" x14ac:dyDescent="0.3">
      <c r="A22" s="730" t="s">
        <v>657</v>
      </c>
      <c r="B22" s="731" t="s">
        <v>1038</v>
      </c>
      <c r="C22" s="732" t="s">
        <v>3</v>
      </c>
      <c r="D22" s="733" t="s">
        <v>1039</v>
      </c>
      <c r="E22" s="733" t="s">
        <v>760</v>
      </c>
      <c r="F22" s="734" t="s">
        <v>758</v>
      </c>
      <c r="G22" s="735" t="s">
        <v>2</v>
      </c>
      <c r="H22" s="736" t="s">
        <v>738</v>
      </c>
      <c r="I22" s="736" t="s">
        <v>4</v>
      </c>
      <c r="J22" s="737" t="s">
        <v>739</v>
      </c>
      <c r="K22" s="732" t="s">
        <v>708</v>
      </c>
      <c r="L22" s="738" t="s">
        <v>868</v>
      </c>
    </row>
    <row r="23" spans="1:12" ht="18" thickTop="1" thickBot="1" x14ac:dyDescent="0.3">
      <c r="A23" s="739" t="s">
        <v>1115</v>
      </c>
      <c r="B23" s="816" t="s">
        <v>875</v>
      </c>
      <c r="C23" s="763">
        <v>5500</v>
      </c>
      <c r="D23" s="1040">
        <v>1006.29</v>
      </c>
      <c r="E23" s="741">
        <f t="shared" ref="E23:E34" si="1">C23-D23</f>
        <v>4493.71</v>
      </c>
      <c r="F23" s="742"/>
      <c r="G23" s="743" t="s">
        <v>637</v>
      </c>
      <c r="H23" s="742"/>
      <c r="I23" s="901" t="s">
        <v>893</v>
      </c>
      <c r="J23" s="906">
        <v>2</v>
      </c>
      <c r="K23" s="901" t="s">
        <v>861</v>
      </c>
      <c r="L23" s="916">
        <v>15</v>
      </c>
    </row>
    <row r="24" spans="1:12" ht="18" thickTop="1" thickBot="1" x14ac:dyDescent="0.3">
      <c r="A24" s="744" t="s">
        <v>1116</v>
      </c>
      <c r="B24" s="817" t="s">
        <v>876</v>
      </c>
      <c r="C24" s="763">
        <v>5500</v>
      </c>
      <c r="D24" s="1041">
        <v>1005.11</v>
      </c>
      <c r="E24" s="746">
        <f t="shared" si="1"/>
        <v>4494.8900000000003</v>
      </c>
      <c r="F24" s="747"/>
      <c r="G24" s="748">
        <f>F23-F24</f>
        <v>0</v>
      </c>
      <c r="H24" s="747"/>
      <c r="I24" s="902"/>
      <c r="J24" s="907"/>
      <c r="K24" s="902"/>
      <c r="L24" s="917"/>
    </row>
    <row r="25" spans="1:12" ht="18" thickTop="1" thickBot="1" x14ac:dyDescent="0.3">
      <c r="A25" s="739" t="s">
        <v>1117</v>
      </c>
      <c r="B25" s="818" t="s">
        <v>877</v>
      </c>
      <c r="C25" s="763">
        <v>5500</v>
      </c>
      <c r="D25" s="1042">
        <v>1003.31</v>
      </c>
      <c r="E25" s="741">
        <f t="shared" si="1"/>
        <v>4496.6900000000005</v>
      </c>
      <c r="F25" s="749"/>
      <c r="G25" s="750">
        <f>F23-F25</f>
        <v>0</v>
      </c>
      <c r="H25" s="749"/>
      <c r="I25" s="902"/>
      <c r="J25" s="907"/>
      <c r="K25" s="902"/>
      <c r="L25" s="917"/>
    </row>
    <row r="26" spans="1:12" ht="18" thickTop="1" thickBot="1" x14ac:dyDescent="0.3">
      <c r="A26" s="744" t="s">
        <v>1118</v>
      </c>
      <c r="B26" s="817" t="s">
        <v>878</v>
      </c>
      <c r="C26" s="763">
        <v>5500</v>
      </c>
      <c r="D26" s="1043">
        <v>1003.83</v>
      </c>
      <c r="E26" s="746">
        <f t="shared" si="1"/>
        <v>4496.17</v>
      </c>
      <c r="F26" s="751"/>
      <c r="G26" s="752">
        <f>F25-F26</f>
        <v>0</v>
      </c>
      <c r="H26" s="751"/>
      <c r="I26" s="902"/>
      <c r="J26" s="907"/>
      <c r="K26" s="902"/>
      <c r="L26" s="917"/>
    </row>
    <row r="27" spans="1:12" ht="18" thickTop="1" thickBot="1" x14ac:dyDescent="0.3">
      <c r="A27" s="739" t="s">
        <v>1119</v>
      </c>
      <c r="B27" s="818" t="s">
        <v>879</v>
      </c>
      <c r="C27" s="763">
        <v>5500</v>
      </c>
      <c r="D27" s="1040">
        <v>1004.24</v>
      </c>
      <c r="E27" s="741">
        <f t="shared" si="1"/>
        <v>4495.76</v>
      </c>
      <c r="F27" s="742"/>
      <c r="G27" s="743">
        <f>F23-F27</f>
        <v>0</v>
      </c>
      <c r="H27" s="742"/>
      <c r="I27" s="902"/>
      <c r="J27" s="907"/>
      <c r="K27" s="902"/>
      <c r="L27" s="917"/>
    </row>
    <row r="28" spans="1:12" ht="18" thickTop="1" thickBot="1" x14ac:dyDescent="0.3">
      <c r="A28" s="744" t="s">
        <v>1120</v>
      </c>
      <c r="B28" s="817" t="s">
        <v>880</v>
      </c>
      <c r="C28" s="763">
        <v>5500</v>
      </c>
      <c r="D28" s="1041">
        <v>1004.94</v>
      </c>
      <c r="E28" s="746">
        <f t="shared" si="1"/>
        <v>4495.0599999999995</v>
      </c>
      <c r="F28" s="747"/>
      <c r="G28" s="748">
        <f>F27-F28</f>
        <v>0</v>
      </c>
      <c r="H28" s="747"/>
      <c r="I28" s="902"/>
      <c r="J28" s="907"/>
      <c r="K28" s="902"/>
      <c r="L28" s="917"/>
    </row>
    <row r="29" spans="1:12" ht="18" thickTop="1" thickBot="1" x14ac:dyDescent="0.3">
      <c r="A29" s="739" t="s">
        <v>1121</v>
      </c>
      <c r="B29" s="818" t="s">
        <v>881</v>
      </c>
      <c r="C29" s="763">
        <v>5500</v>
      </c>
      <c r="D29" s="1040">
        <v>1005.28</v>
      </c>
      <c r="E29" s="741">
        <f t="shared" si="1"/>
        <v>4494.72</v>
      </c>
      <c r="F29" s="749"/>
      <c r="G29" s="750">
        <f>F23-F29</f>
        <v>0</v>
      </c>
      <c r="H29" s="749"/>
      <c r="I29" s="902"/>
      <c r="J29" s="907"/>
      <c r="K29" s="902"/>
      <c r="L29" s="917"/>
    </row>
    <row r="30" spans="1:12" ht="18" thickTop="1" thickBot="1" x14ac:dyDescent="0.3">
      <c r="A30" s="744" t="s">
        <v>1122</v>
      </c>
      <c r="B30" s="817" t="s">
        <v>882</v>
      </c>
      <c r="C30" s="763">
        <v>5500</v>
      </c>
      <c r="D30" s="1041">
        <v>1004.34</v>
      </c>
      <c r="E30" s="746">
        <f t="shared" si="1"/>
        <v>4495.66</v>
      </c>
      <c r="F30" s="751"/>
      <c r="G30" s="752">
        <f>F29-F30</f>
        <v>0</v>
      </c>
      <c r="H30" s="751"/>
      <c r="I30" s="903"/>
      <c r="J30" s="908"/>
      <c r="K30" s="903"/>
      <c r="L30" s="917"/>
    </row>
    <row r="31" spans="1:12" ht="29.25" thickTop="1" x14ac:dyDescent="0.25">
      <c r="A31" s="765" t="s">
        <v>1123</v>
      </c>
      <c r="B31" s="858" t="s">
        <v>1014</v>
      </c>
      <c r="C31" s="763">
        <v>10000</v>
      </c>
      <c r="D31" s="1040">
        <v>3500.82</v>
      </c>
      <c r="E31" s="741">
        <f t="shared" si="1"/>
        <v>6499.18</v>
      </c>
      <c r="F31" s="742"/>
      <c r="G31" s="743" t="s">
        <v>637</v>
      </c>
      <c r="H31" s="742"/>
      <c r="I31" s="904" t="s">
        <v>646</v>
      </c>
      <c r="J31" s="909">
        <v>2</v>
      </c>
      <c r="K31" s="913" t="s">
        <v>706</v>
      </c>
      <c r="L31" s="911">
        <v>30</v>
      </c>
    </row>
    <row r="32" spans="1:12" ht="29.25" thickBot="1" x14ac:dyDescent="0.3">
      <c r="A32" s="766" t="s">
        <v>1124</v>
      </c>
      <c r="B32" s="859" t="s">
        <v>1015</v>
      </c>
      <c r="C32" s="764">
        <v>10000</v>
      </c>
      <c r="D32" s="1041">
        <v>3433.33</v>
      </c>
      <c r="E32" s="746">
        <f t="shared" si="1"/>
        <v>6566.67</v>
      </c>
      <c r="F32" s="747"/>
      <c r="G32" s="748">
        <f>F31-F32</f>
        <v>0</v>
      </c>
      <c r="H32" s="747"/>
      <c r="I32" s="905"/>
      <c r="J32" s="910"/>
      <c r="K32" s="914"/>
      <c r="L32" s="912"/>
    </row>
    <row r="33" spans="1:12" ht="29.25" thickTop="1" x14ac:dyDescent="0.25">
      <c r="A33" s="753" t="s">
        <v>1123</v>
      </c>
      <c r="B33" s="834" t="s">
        <v>1016</v>
      </c>
      <c r="C33" s="767">
        <v>10000</v>
      </c>
      <c r="D33" s="1047">
        <v>1031.8</v>
      </c>
      <c r="E33" s="741">
        <f t="shared" si="1"/>
        <v>8968.2000000000007</v>
      </c>
      <c r="F33" s="758"/>
      <c r="G33" s="759" t="s">
        <v>637</v>
      </c>
      <c r="H33" s="758"/>
      <c r="I33" s="920" t="s">
        <v>655</v>
      </c>
      <c r="J33" s="909">
        <v>2</v>
      </c>
      <c r="K33" s="913" t="s">
        <v>861</v>
      </c>
      <c r="L33" s="911">
        <v>15</v>
      </c>
    </row>
    <row r="34" spans="1:12" ht="29.25" thickBot="1" x14ac:dyDescent="0.3">
      <c r="A34" s="754" t="s">
        <v>1124</v>
      </c>
      <c r="B34" s="833" t="s">
        <v>1017</v>
      </c>
      <c r="C34" s="768">
        <v>10000</v>
      </c>
      <c r="D34" s="1048">
        <v>1030.97</v>
      </c>
      <c r="E34" s="746">
        <f t="shared" si="1"/>
        <v>8969.0300000000007</v>
      </c>
      <c r="F34" s="761"/>
      <c r="G34" s="762">
        <f>F33-F34</f>
        <v>0</v>
      </c>
      <c r="H34" s="761"/>
      <c r="I34" s="915"/>
      <c r="J34" s="910"/>
      <c r="K34" s="915"/>
      <c r="L34" s="912"/>
    </row>
    <row r="35" spans="1:12" ht="18" thickTop="1" thickBot="1" x14ac:dyDescent="0.3"/>
    <row r="36" spans="1:12" ht="34.5" thickTop="1" thickBot="1" x14ac:dyDescent="0.3">
      <c r="A36" s="730" t="s">
        <v>657</v>
      </c>
      <c r="B36" s="731" t="s">
        <v>1038</v>
      </c>
      <c r="C36" s="732" t="s">
        <v>3</v>
      </c>
      <c r="D36" s="733" t="s">
        <v>1039</v>
      </c>
      <c r="E36" s="732" t="s">
        <v>760</v>
      </c>
      <c r="F36" s="734" t="s">
        <v>758</v>
      </c>
      <c r="G36" s="735" t="s">
        <v>2</v>
      </c>
      <c r="H36" s="736" t="s">
        <v>738</v>
      </c>
      <c r="I36" s="736" t="s">
        <v>4</v>
      </c>
      <c r="J36" s="737" t="s">
        <v>739</v>
      </c>
      <c r="K36" s="732" t="s">
        <v>708</v>
      </c>
      <c r="L36" s="738" t="s">
        <v>868</v>
      </c>
    </row>
    <row r="37" spans="1:12" ht="18" thickTop="1" thickBot="1" x14ac:dyDescent="0.3">
      <c r="A37" s="739" t="s">
        <v>33</v>
      </c>
      <c r="B37" s="818" t="s">
        <v>33</v>
      </c>
      <c r="C37" s="763">
        <v>5500</v>
      </c>
      <c r="D37" s="1040">
        <v>1612.35</v>
      </c>
      <c r="E37" s="769">
        <f t="shared" ref="E37:E48" si="2">C37-D37</f>
        <v>3887.65</v>
      </c>
      <c r="F37" s="742"/>
      <c r="G37" s="743" t="s">
        <v>637</v>
      </c>
      <c r="H37" s="742"/>
      <c r="I37" s="926" t="s">
        <v>893</v>
      </c>
      <c r="J37" s="928">
        <v>2</v>
      </c>
      <c r="K37" s="901" t="s">
        <v>861</v>
      </c>
      <c r="L37" s="916">
        <v>15</v>
      </c>
    </row>
    <row r="38" spans="1:12" ht="18" thickTop="1" thickBot="1" x14ac:dyDescent="0.3">
      <c r="A38" s="744" t="s">
        <v>34</v>
      </c>
      <c r="B38" s="817" t="s">
        <v>34</v>
      </c>
      <c r="C38" s="763">
        <v>5500</v>
      </c>
      <c r="D38" s="1041">
        <v>1613.48</v>
      </c>
      <c r="E38" s="770">
        <f t="shared" si="2"/>
        <v>3886.52</v>
      </c>
      <c r="F38" s="747"/>
      <c r="G38" s="748">
        <f>F37-F38</f>
        <v>0</v>
      </c>
      <c r="H38" s="747"/>
      <c r="I38" s="927"/>
      <c r="J38" s="929"/>
      <c r="K38" s="902"/>
      <c r="L38" s="917"/>
    </row>
    <row r="39" spans="1:12" ht="18" thickTop="1" thickBot="1" x14ac:dyDescent="0.3">
      <c r="A39" s="739" t="s">
        <v>35</v>
      </c>
      <c r="B39" s="818" t="s">
        <v>35</v>
      </c>
      <c r="C39" s="763">
        <v>5500</v>
      </c>
      <c r="D39" s="1042">
        <v>1616.63</v>
      </c>
      <c r="E39" s="769">
        <f t="shared" si="2"/>
        <v>3883.37</v>
      </c>
      <c r="F39" s="749"/>
      <c r="G39" s="750">
        <f>F37-F39</f>
        <v>0</v>
      </c>
      <c r="H39" s="749"/>
      <c r="I39" s="927"/>
      <c r="J39" s="929"/>
      <c r="K39" s="902"/>
      <c r="L39" s="917"/>
    </row>
    <row r="40" spans="1:12" ht="18" thickTop="1" thickBot="1" x14ac:dyDescent="0.3">
      <c r="A40" s="744" t="s">
        <v>36</v>
      </c>
      <c r="B40" s="817" t="s">
        <v>36</v>
      </c>
      <c r="C40" s="763">
        <v>5500</v>
      </c>
      <c r="D40" s="1043">
        <v>1617.84</v>
      </c>
      <c r="E40" s="770">
        <f t="shared" si="2"/>
        <v>3882.16</v>
      </c>
      <c r="F40" s="751"/>
      <c r="G40" s="752">
        <f>F39-F40</f>
        <v>0</v>
      </c>
      <c r="H40" s="751"/>
      <c r="I40" s="927"/>
      <c r="J40" s="929"/>
      <c r="K40" s="902"/>
      <c r="L40" s="917"/>
    </row>
    <row r="41" spans="1:12" ht="18" thickTop="1" thickBot="1" x14ac:dyDescent="0.3">
      <c r="A41" s="739" t="s">
        <v>37</v>
      </c>
      <c r="B41" s="818" t="s">
        <v>37</v>
      </c>
      <c r="C41" s="763">
        <v>5500</v>
      </c>
      <c r="D41" s="1040">
        <v>1616.49</v>
      </c>
      <c r="E41" s="769">
        <f t="shared" si="2"/>
        <v>3883.51</v>
      </c>
      <c r="F41" s="742"/>
      <c r="G41" s="743">
        <f>F37-F41</f>
        <v>0</v>
      </c>
      <c r="H41" s="742"/>
      <c r="I41" s="927"/>
      <c r="J41" s="929"/>
      <c r="K41" s="902"/>
      <c r="L41" s="917"/>
    </row>
    <row r="42" spans="1:12" ht="18" thickTop="1" thickBot="1" x14ac:dyDescent="0.3">
      <c r="A42" s="744" t="s">
        <v>38</v>
      </c>
      <c r="B42" s="817" t="s">
        <v>38</v>
      </c>
      <c r="C42" s="763">
        <v>5500</v>
      </c>
      <c r="D42" s="1041">
        <v>1617.8</v>
      </c>
      <c r="E42" s="770">
        <f t="shared" si="2"/>
        <v>3882.2</v>
      </c>
      <c r="F42" s="747"/>
      <c r="G42" s="748">
        <f>F41-F42</f>
        <v>0</v>
      </c>
      <c r="H42" s="747"/>
      <c r="I42" s="927"/>
      <c r="J42" s="929"/>
      <c r="K42" s="902"/>
      <c r="L42" s="917"/>
    </row>
    <row r="43" spans="1:12" ht="18" thickTop="1" thickBot="1" x14ac:dyDescent="0.3">
      <c r="A43" s="739" t="s">
        <v>39</v>
      </c>
      <c r="B43" s="818" t="s">
        <v>39</v>
      </c>
      <c r="C43" s="763">
        <v>5500</v>
      </c>
      <c r="D43" s="1042">
        <v>1616.63</v>
      </c>
      <c r="E43" s="769">
        <f t="shared" si="2"/>
        <v>3883.37</v>
      </c>
      <c r="F43" s="749"/>
      <c r="G43" s="750">
        <f>F37-F43</f>
        <v>0</v>
      </c>
      <c r="H43" s="749"/>
      <c r="I43" s="927"/>
      <c r="J43" s="929"/>
      <c r="K43" s="902"/>
      <c r="L43" s="917"/>
    </row>
    <row r="44" spans="1:12" ht="18" thickTop="1" thickBot="1" x14ac:dyDescent="0.3">
      <c r="A44" s="744" t="s">
        <v>40</v>
      </c>
      <c r="B44" s="817" t="s">
        <v>40</v>
      </c>
      <c r="C44" s="763">
        <v>5500</v>
      </c>
      <c r="D44" s="1043">
        <v>1617</v>
      </c>
      <c r="E44" s="770">
        <f t="shared" si="2"/>
        <v>3883</v>
      </c>
      <c r="F44" s="751"/>
      <c r="G44" s="752">
        <f>F43-F44</f>
        <v>0</v>
      </c>
      <c r="H44" s="751"/>
      <c r="I44" s="927"/>
      <c r="J44" s="929"/>
      <c r="K44" s="903"/>
      <c r="L44" s="917"/>
    </row>
    <row r="45" spans="1:12" ht="29.25" thickTop="1" x14ac:dyDescent="0.25">
      <c r="A45" s="771" t="s">
        <v>42</v>
      </c>
      <c r="B45" s="858" t="s">
        <v>1018</v>
      </c>
      <c r="C45" s="763">
        <v>10000</v>
      </c>
      <c r="D45" s="1040">
        <v>3230.71</v>
      </c>
      <c r="E45" s="769">
        <f t="shared" si="2"/>
        <v>6769.29</v>
      </c>
      <c r="F45" s="742"/>
      <c r="G45" s="743" t="s">
        <v>637</v>
      </c>
      <c r="H45" s="742"/>
      <c r="I45" s="904" t="s">
        <v>646</v>
      </c>
      <c r="J45" s="924">
        <v>2</v>
      </c>
      <c r="K45" s="913" t="s">
        <v>706</v>
      </c>
      <c r="L45" s="911">
        <v>30</v>
      </c>
    </row>
    <row r="46" spans="1:12" ht="29.25" thickBot="1" x14ac:dyDescent="0.3">
      <c r="A46" s="772" t="s">
        <v>41</v>
      </c>
      <c r="B46" s="859" t="s">
        <v>1019</v>
      </c>
      <c r="C46" s="764">
        <v>10000</v>
      </c>
      <c r="D46" s="1041">
        <v>3168.71</v>
      </c>
      <c r="E46" s="770">
        <f t="shared" si="2"/>
        <v>6831.29</v>
      </c>
      <c r="F46" s="747"/>
      <c r="G46" s="748">
        <f>F45-F46</f>
        <v>0</v>
      </c>
      <c r="H46" s="747"/>
      <c r="I46" s="905"/>
      <c r="J46" s="925"/>
      <c r="K46" s="914"/>
      <c r="L46" s="912"/>
    </row>
    <row r="47" spans="1:12" ht="29.25" thickTop="1" x14ac:dyDescent="0.25">
      <c r="A47" s="773" t="s">
        <v>42</v>
      </c>
      <c r="B47" s="834" t="s">
        <v>1020</v>
      </c>
      <c r="C47" s="767">
        <v>10000</v>
      </c>
      <c r="D47" s="1047">
        <v>1069.1400000000001</v>
      </c>
      <c r="E47" s="774">
        <f t="shared" si="2"/>
        <v>8930.86</v>
      </c>
      <c r="F47" s="742"/>
      <c r="G47" s="743" t="s">
        <v>637</v>
      </c>
      <c r="H47" s="742"/>
      <c r="I47" s="904" t="s">
        <v>655</v>
      </c>
      <c r="J47" s="924">
        <v>2</v>
      </c>
      <c r="K47" s="913" t="s">
        <v>861</v>
      </c>
      <c r="L47" s="911">
        <v>15</v>
      </c>
    </row>
    <row r="48" spans="1:12" ht="29.25" thickBot="1" x14ac:dyDescent="0.3">
      <c r="A48" s="775" t="s">
        <v>41</v>
      </c>
      <c r="B48" s="833" t="s">
        <v>1021</v>
      </c>
      <c r="C48" s="768">
        <v>10000</v>
      </c>
      <c r="D48" s="1048">
        <v>1067.25</v>
      </c>
      <c r="E48" s="776">
        <f t="shared" si="2"/>
        <v>8932.75</v>
      </c>
      <c r="F48" s="747"/>
      <c r="G48" s="748">
        <f>F47-F48</f>
        <v>0</v>
      </c>
      <c r="H48" s="747"/>
      <c r="I48" s="905"/>
      <c r="J48" s="925"/>
      <c r="K48" s="915"/>
      <c r="L48" s="912"/>
    </row>
    <row r="49" spans="1:12" ht="17.25" thickTop="1" x14ac:dyDescent="0.25">
      <c r="A49" s="777"/>
      <c r="B49" s="778"/>
      <c r="C49" s="779"/>
      <c r="D49" s="780"/>
      <c r="E49" s="781"/>
      <c r="F49" s="782"/>
      <c r="G49" s="783"/>
      <c r="H49" s="784"/>
      <c r="I49" s="784"/>
      <c r="J49" s="784"/>
      <c r="K49" s="783"/>
      <c r="L49" s="785"/>
    </row>
  </sheetData>
  <sheetProtection algorithmName="SHA-512" hashValue="gLnMMqAbdEL86O/gNQn9HM4oPnNjIjlEaziO78N/pLrTQjh2KzxaiwAZgzFfDB4YiuIBczuIQ8O+eor+zz4gMQ==" saltValue="7tWHEthzgWV7Zb6FGtbwHQ==" spinCount="100000" sheet="1" selectLockedCells="1"/>
  <mergeCells count="36">
    <mergeCell ref="I47:I48"/>
    <mergeCell ref="J45:J46"/>
    <mergeCell ref="J47:J48"/>
    <mergeCell ref="I33:I34"/>
    <mergeCell ref="J33:J34"/>
    <mergeCell ref="I37:I44"/>
    <mergeCell ref="J37:J44"/>
    <mergeCell ref="I45:I46"/>
    <mergeCell ref="K3:K16"/>
    <mergeCell ref="K23:K30"/>
    <mergeCell ref="K17:K18"/>
    <mergeCell ref="L3:L16"/>
    <mergeCell ref="L17:L18"/>
    <mergeCell ref="K19:K20"/>
    <mergeCell ref="L19:L20"/>
    <mergeCell ref="L23:L30"/>
    <mergeCell ref="I3:I16"/>
    <mergeCell ref="I17:I18"/>
    <mergeCell ref="J3:J16"/>
    <mergeCell ref="J17:J18"/>
    <mergeCell ref="I19:I20"/>
    <mergeCell ref="J19:J20"/>
    <mergeCell ref="K47:K48"/>
    <mergeCell ref="L47:L48"/>
    <mergeCell ref="K33:K34"/>
    <mergeCell ref="L33:L34"/>
    <mergeCell ref="K37:K44"/>
    <mergeCell ref="L37:L44"/>
    <mergeCell ref="K45:K46"/>
    <mergeCell ref="L45:L46"/>
    <mergeCell ref="I23:I30"/>
    <mergeCell ref="I31:I32"/>
    <mergeCell ref="J23:J30"/>
    <mergeCell ref="J31:J32"/>
    <mergeCell ref="L31:L32"/>
    <mergeCell ref="K31:K32"/>
  </mergeCells>
  <phoneticPr fontId="45" type="noConversion"/>
  <conditionalFormatting sqref="D3:D10">
    <cfRule type="cellIs" dxfId="421" priority="4" operator="greaterThan">
      <formula>$E$4</formula>
    </cfRule>
  </conditionalFormatting>
  <conditionalFormatting sqref="D25:D30">
    <cfRule type="cellIs" dxfId="420" priority="1" operator="greaterThan">
      <formula>$E$4</formula>
    </cfRule>
  </conditionalFormatting>
  <conditionalFormatting sqref="D49">
    <cfRule type="cellIs" dxfId="419" priority="9" stopIfTrue="1" operator="greaterThan">
      <formula>11000</formula>
    </cfRule>
  </conditionalFormatting>
  <conditionalFormatting sqref="E49">
    <cfRule type="cellIs" dxfId="418" priority="12" stopIfTrue="1" operator="notBetween">
      <formula>-1000</formula>
      <formula>0</formula>
    </cfRule>
  </conditionalFormatting>
  <conditionalFormatting sqref="F3">
    <cfRule type="cellIs" dxfId="417" priority="32" stopIfTrue="1" operator="greaterThan">
      <formula>$E$3</formula>
    </cfRule>
  </conditionalFormatting>
  <conditionalFormatting sqref="F4">
    <cfRule type="cellIs" dxfId="416" priority="33" stopIfTrue="1" operator="greaterThan">
      <formula>$E$4</formula>
    </cfRule>
  </conditionalFormatting>
  <conditionalFormatting sqref="F5">
    <cfRule type="cellIs" dxfId="415" priority="34" stopIfTrue="1" operator="greaterThan">
      <formula>$E$5</formula>
    </cfRule>
  </conditionalFormatting>
  <conditionalFormatting sqref="F6">
    <cfRule type="cellIs" dxfId="414" priority="35" stopIfTrue="1" operator="greaterThan">
      <formula>$E$6</formula>
    </cfRule>
  </conditionalFormatting>
  <conditionalFormatting sqref="F7">
    <cfRule type="cellIs" dxfId="413" priority="36" stopIfTrue="1" operator="greaterThan">
      <formula>$E$7</formula>
    </cfRule>
  </conditionalFormatting>
  <conditionalFormatting sqref="F8">
    <cfRule type="cellIs" dxfId="412" priority="37" stopIfTrue="1" operator="greaterThan">
      <formula>$E$8</formula>
    </cfRule>
  </conditionalFormatting>
  <conditionalFormatting sqref="F9">
    <cfRule type="cellIs" dxfId="411" priority="38" stopIfTrue="1" operator="greaterThan">
      <formula>$E$9</formula>
    </cfRule>
  </conditionalFormatting>
  <conditionalFormatting sqref="F10">
    <cfRule type="cellIs" dxfId="410" priority="39" stopIfTrue="1" operator="greaterThan">
      <formula>$E$10</formula>
    </cfRule>
  </conditionalFormatting>
  <conditionalFormatting sqref="F11">
    <cfRule type="cellIs" dxfId="409" priority="40" stopIfTrue="1" operator="greaterThan">
      <formula>$E$11</formula>
    </cfRule>
  </conditionalFormatting>
  <conditionalFormatting sqref="F12">
    <cfRule type="cellIs" dxfId="408" priority="41" stopIfTrue="1" operator="greaterThan">
      <formula>$E$12</formula>
    </cfRule>
  </conditionalFormatting>
  <conditionalFormatting sqref="F13">
    <cfRule type="cellIs" dxfId="407" priority="42" stopIfTrue="1" operator="greaterThan">
      <formula>$E$13</formula>
    </cfRule>
  </conditionalFormatting>
  <conditionalFormatting sqref="F14">
    <cfRule type="cellIs" dxfId="406" priority="43" stopIfTrue="1" operator="greaterThan">
      <formula>$E$14</formula>
    </cfRule>
  </conditionalFormatting>
  <conditionalFormatting sqref="F15">
    <cfRule type="cellIs" dxfId="405" priority="44" stopIfTrue="1" operator="greaterThan">
      <formula>$E$15</formula>
    </cfRule>
  </conditionalFormatting>
  <conditionalFormatting sqref="F16">
    <cfRule type="cellIs" dxfId="404" priority="45" stopIfTrue="1" operator="greaterThan">
      <formula>$E$16</formula>
    </cfRule>
  </conditionalFormatting>
  <conditionalFormatting sqref="F17">
    <cfRule type="cellIs" dxfId="403" priority="46" stopIfTrue="1" operator="greaterThan">
      <formula>$E$17</formula>
    </cfRule>
  </conditionalFormatting>
  <conditionalFormatting sqref="F18">
    <cfRule type="cellIs" dxfId="402" priority="47" stopIfTrue="1" operator="greaterThan">
      <formula>$E$18</formula>
    </cfRule>
  </conditionalFormatting>
  <conditionalFormatting sqref="F19">
    <cfRule type="cellIs" dxfId="401" priority="48" stopIfTrue="1" operator="greaterThan">
      <formula>$E$19</formula>
    </cfRule>
  </conditionalFormatting>
  <conditionalFormatting sqref="F20">
    <cfRule type="cellIs" dxfId="400" priority="49" stopIfTrue="1" operator="greaterThan">
      <formula>$E$20</formula>
    </cfRule>
  </conditionalFormatting>
  <conditionalFormatting sqref="F23">
    <cfRule type="cellIs" dxfId="399" priority="51" stopIfTrue="1" operator="greaterThan">
      <formula>$E$23</formula>
    </cfRule>
  </conditionalFormatting>
  <conditionalFormatting sqref="F24">
    <cfRule type="cellIs" dxfId="398" priority="52" stopIfTrue="1" operator="greaterThan">
      <formula>$E$24</formula>
    </cfRule>
  </conditionalFormatting>
  <conditionalFormatting sqref="F25">
    <cfRule type="cellIs" dxfId="397" priority="53" stopIfTrue="1" operator="greaterThan">
      <formula>$E$25</formula>
    </cfRule>
  </conditionalFormatting>
  <conditionalFormatting sqref="F26">
    <cfRule type="cellIs" dxfId="396" priority="54" stopIfTrue="1" operator="greaterThan">
      <formula>$E$26</formula>
    </cfRule>
  </conditionalFormatting>
  <conditionalFormatting sqref="F27">
    <cfRule type="cellIs" dxfId="395" priority="55" stopIfTrue="1" operator="greaterThan">
      <formula>$E$27</formula>
    </cfRule>
  </conditionalFormatting>
  <conditionalFormatting sqref="F28">
    <cfRule type="cellIs" dxfId="394" priority="56" stopIfTrue="1" operator="greaterThan">
      <formula>$E$28</formula>
    </cfRule>
  </conditionalFormatting>
  <conditionalFormatting sqref="F29">
    <cfRule type="cellIs" dxfId="393" priority="57" stopIfTrue="1" operator="greaterThan">
      <formula>$E$29</formula>
    </cfRule>
  </conditionalFormatting>
  <conditionalFormatting sqref="F30">
    <cfRule type="cellIs" dxfId="392" priority="58" stopIfTrue="1" operator="greaterThan">
      <formula>$E$30</formula>
    </cfRule>
  </conditionalFormatting>
  <conditionalFormatting sqref="F31">
    <cfRule type="cellIs" dxfId="391" priority="59" stopIfTrue="1" operator="greaterThan">
      <formula>$E$31</formula>
    </cfRule>
  </conditionalFormatting>
  <conditionalFormatting sqref="F32">
    <cfRule type="cellIs" dxfId="390" priority="60" stopIfTrue="1" operator="greaterThan">
      <formula>$E$32</formula>
    </cfRule>
  </conditionalFormatting>
  <conditionalFormatting sqref="F33">
    <cfRule type="cellIs" dxfId="389" priority="61" stopIfTrue="1" operator="greaterThan">
      <formula>$E$33</formula>
    </cfRule>
  </conditionalFormatting>
  <conditionalFormatting sqref="F34">
    <cfRule type="cellIs" dxfId="388" priority="62" stopIfTrue="1" operator="greaterThan">
      <formula>$E$34</formula>
    </cfRule>
  </conditionalFormatting>
  <conditionalFormatting sqref="F37">
    <cfRule type="cellIs" dxfId="387" priority="63" stopIfTrue="1" operator="greaterThan">
      <formula>$E$37</formula>
    </cfRule>
  </conditionalFormatting>
  <conditionalFormatting sqref="F38">
    <cfRule type="cellIs" dxfId="386" priority="64" stopIfTrue="1" operator="greaterThan">
      <formula>$E$38</formula>
    </cfRule>
  </conditionalFormatting>
  <conditionalFormatting sqref="F39">
    <cfRule type="cellIs" dxfId="385" priority="65" stopIfTrue="1" operator="greaterThan">
      <formula>$E$39</formula>
    </cfRule>
  </conditionalFormatting>
  <conditionalFormatting sqref="F40">
    <cfRule type="cellIs" dxfId="384" priority="66" stopIfTrue="1" operator="greaterThan">
      <formula>$E$40</formula>
    </cfRule>
  </conditionalFormatting>
  <conditionalFormatting sqref="F41">
    <cfRule type="cellIs" dxfId="383" priority="67" stopIfTrue="1" operator="greaterThan">
      <formula>$E$41</formula>
    </cfRule>
  </conditionalFormatting>
  <conditionalFormatting sqref="F42">
    <cfRule type="cellIs" dxfId="382" priority="68" stopIfTrue="1" operator="greaterThan">
      <formula>$E$42</formula>
    </cfRule>
  </conditionalFormatting>
  <conditionalFormatting sqref="F43">
    <cfRule type="cellIs" dxfId="381" priority="69" stopIfTrue="1" operator="greaterThan">
      <formula>$E$43</formula>
    </cfRule>
  </conditionalFormatting>
  <conditionalFormatting sqref="F44">
    <cfRule type="cellIs" dxfId="380" priority="70" stopIfTrue="1" operator="greaterThan">
      <formula>$E$44</formula>
    </cfRule>
  </conditionalFormatting>
  <conditionalFormatting sqref="F45">
    <cfRule type="cellIs" dxfId="379" priority="71" stopIfTrue="1" operator="greaterThan">
      <formula>$E$45</formula>
    </cfRule>
  </conditionalFormatting>
  <conditionalFormatting sqref="F46">
    <cfRule type="cellIs" dxfId="378" priority="72" stopIfTrue="1" operator="greaterThan">
      <formula>$E$46</formula>
    </cfRule>
  </conditionalFormatting>
  <conditionalFormatting sqref="F47">
    <cfRule type="cellIs" dxfId="377" priority="73" stopIfTrue="1" operator="greaterThan">
      <formula>$E$47</formula>
    </cfRule>
  </conditionalFormatting>
  <conditionalFormatting sqref="F48">
    <cfRule type="cellIs" dxfId="376" priority="74" stopIfTrue="1" operator="greaterThan">
      <formula>$E$48</formula>
    </cfRule>
  </conditionalFormatting>
  <conditionalFormatting sqref="G4">
    <cfRule type="cellIs" dxfId="375" priority="10" stopIfTrue="1" operator="notBetween">
      <formula>5</formula>
      <formula>-5</formula>
    </cfRule>
  </conditionalFormatting>
  <conditionalFormatting sqref="G5 G7 G9 G11 G13 G15 G25 G27 G29 G39 G41 G43">
    <cfRule type="cellIs" dxfId="374" priority="18" stopIfTrue="1" operator="notBetween">
      <formula>250</formula>
      <formula>-250</formula>
    </cfRule>
  </conditionalFormatting>
  <conditionalFormatting sqref="G6 G8 G10 G12 G14 G16 G24 G26 G28 G30 G38 G40 G42 G44">
    <cfRule type="cellIs" dxfId="373" priority="19" stopIfTrue="1" operator="notBetween">
      <formula>2</formula>
      <formula>-2</formula>
    </cfRule>
  </conditionalFormatting>
  <conditionalFormatting sqref="G18">
    <cfRule type="cellIs" dxfId="372" priority="50" stopIfTrue="1" operator="notBetween">
      <formula>-100</formula>
      <formula>100</formula>
    </cfRule>
  </conditionalFormatting>
  <conditionalFormatting sqref="G20 G34 G48">
    <cfRule type="cellIs" dxfId="371" priority="22" stopIfTrue="1" operator="notBetween">
      <formula>-2</formula>
      <formula>2</formula>
    </cfRule>
  </conditionalFormatting>
  <conditionalFormatting sqref="G32 G46">
    <cfRule type="cellIs" dxfId="370" priority="23" stopIfTrue="1" operator="notBetween">
      <formula>-100</formula>
      <formula>100</formula>
    </cfRule>
  </conditionalFormatting>
  <conditionalFormatting sqref="H3:H20 H23:H34 H37:H48 F49">
    <cfRule type="cellIs" dxfId="369" priority="8" stopIfTrue="1" operator="greaterThan">
      <formula>2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工作表2">
    <tabColor rgb="FFFFFF00"/>
  </sheetPr>
  <dimension ref="A1:L17"/>
  <sheetViews>
    <sheetView workbookViewId="0">
      <selection activeCell="F12" sqref="F12"/>
    </sheetView>
  </sheetViews>
  <sheetFormatPr defaultColWidth="10.28515625" defaultRowHeight="16.5" x14ac:dyDescent="0.25"/>
  <cols>
    <col min="1" max="1" width="27.7109375" style="619" customWidth="1"/>
    <col min="2" max="2" width="32.7109375" style="619" customWidth="1"/>
    <col min="3" max="3" width="23.7109375" style="619" customWidth="1"/>
    <col min="4" max="4" width="23.28515625" style="619" customWidth="1"/>
    <col min="5" max="5" width="28" style="619" customWidth="1"/>
    <col min="6" max="6" width="19.140625" style="619" customWidth="1"/>
    <col min="7" max="7" width="18.7109375" style="619" customWidth="1"/>
    <col min="8" max="8" width="17.28515625" style="619" customWidth="1"/>
    <col min="9" max="9" width="27.42578125" style="619" customWidth="1"/>
    <col min="10" max="10" width="12.7109375" style="619" customWidth="1"/>
    <col min="11" max="11" width="20" style="619" customWidth="1"/>
    <col min="12" max="12" width="18" style="619" customWidth="1"/>
    <col min="13" max="16384" width="10.28515625" style="619"/>
  </cols>
  <sheetData>
    <row r="1" spans="1:12" ht="28.5" thickBot="1" x14ac:dyDescent="0.45">
      <c r="A1" s="627" t="s">
        <v>850</v>
      </c>
      <c r="B1" s="620"/>
      <c r="C1" s="608"/>
      <c r="D1" s="620"/>
      <c r="E1" s="620"/>
      <c r="F1" s="620"/>
    </row>
    <row r="2" spans="1:12" ht="34.5" thickTop="1" thickBot="1" x14ac:dyDescent="0.3">
      <c r="A2" s="644" t="s">
        <v>657</v>
      </c>
      <c r="B2" s="661" t="s">
        <v>1038</v>
      </c>
      <c r="C2" s="621" t="s">
        <v>3</v>
      </c>
      <c r="D2" s="618" t="s">
        <v>1039</v>
      </c>
      <c r="E2" s="618" t="s">
        <v>760</v>
      </c>
      <c r="F2" s="623" t="s">
        <v>758</v>
      </c>
      <c r="G2" s="657" t="s">
        <v>2</v>
      </c>
      <c r="H2" s="654" t="s">
        <v>738</v>
      </c>
      <c r="I2" s="654" t="s">
        <v>4</v>
      </c>
      <c r="J2" s="621" t="s">
        <v>736</v>
      </c>
      <c r="K2" s="621" t="s">
        <v>704</v>
      </c>
      <c r="L2" s="672" t="s">
        <v>761</v>
      </c>
    </row>
    <row r="3" spans="1:12" ht="50.25" thickTop="1" x14ac:dyDescent="0.25">
      <c r="A3" s="719" t="s">
        <v>851</v>
      </c>
      <c r="B3" s="820" t="s">
        <v>883</v>
      </c>
      <c r="C3" s="668">
        <v>9000</v>
      </c>
      <c r="D3" s="1047">
        <v>4915.75</v>
      </c>
      <c r="E3" s="682">
        <f>C3-D3</f>
        <v>4084.25</v>
      </c>
      <c r="F3" s="673"/>
      <c r="G3" s="650" t="s">
        <v>637</v>
      </c>
      <c r="H3" s="604"/>
      <c r="I3" s="891" t="s">
        <v>654</v>
      </c>
      <c r="J3" s="891">
        <v>2</v>
      </c>
      <c r="K3" s="891" t="s">
        <v>861</v>
      </c>
      <c r="L3" s="930">
        <v>15</v>
      </c>
    </row>
    <row r="4" spans="1:12" ht="50.25" thickBot="1" x14ac:dyDescent="0.3">
      <c r="A4" s="720" t="s">
        <v>852</v>
      </c>
      <c r="B4" s="814" t="s">
        <v>884</v>
      </c>
      <c r="C4" s="830">
        <v>9000</v>
      </c>
      <c r="D4" s="1049">
        <v>4915.3</v>
      </c>
      <c r="E4" s="684">
        <f>C4-D4</f>
        <v>4084.7</v>
      </c>
      <c r="F4" s="674"/>
      <c r="G4" s="651">
        <f>F3-F4</f>
        <v>0</v>
      </c>
      <c r="H4" s="614"/>
      <c r="I4" s="892"/>
      <c r="J4" s="892"/>
      <c r="K4" s="892"/>
      <c r="L4" s="932"/>
    </row>
    <row r="5" spans="1:12" ht="50.25" thickTop="1" x14ac:dyDescent="0.25">
      <c r="A5" s="719" t="s">
        <v>853</v>
      </c>
      <c r="B5" s="820" t="s">
        <v>885</v>
      </c>
      <c r="C5" s="668">
        <v>9000</v>
      </c>
      <c r="D5" s="1047">
        <v>4916.5600000000004</v>
      </c>
      <c r="E5" s="682">
        <f t="shared" ref="E5:E12" si="0">C5-D5</f>
        <v>4083.4399999999996</v>
      </c>
      <c r="F5" s="673"/>
      <c r="G5" s="650">
        <f>F3-F5</f>
        <v>0</v>
      </c>
      <c r="H5" s="604"/>
      <c r="I5" s="892"/>
      <c r="J5" s="892"/>
      <c r="K5" s="892"/>
      <c r="L5" s="932"/>
    </row>
    <row r="6" spans="1:12" ht="50.25" thickBot="1" x14ac:dyDescent="0.3">
      <c r="A6" s="720" t="s">
        <v>854</v>
      </c>
      <c r="B6" s="814" t="s">
        <v>886</v>
      </c>
      <c r="C6" s="830">
        <v>9000</v>
      </c>
      <c r="D6" s="1048">
        <v>4915.59</v>
      </c>
      <c r="E6" s="684">
        <f t="shared" si="0"/>
        <v>4084.41</v>
      </c>
      <c r="F6" s="675"/>
      <c r="G6" s="652">
        <f>F5-F6</f>
        <v>0</v>
      </c>
      <c r="H6" s="611"/>
      <c r="I6" s="892"/>
      <c r="J6" s="892"/>
      <c r="K6" s="892"/>
      <c r="L6" s="932"/>
    </row>
    <row r="7" spans="1:12" ht="33.75" thickTop="1" x14ac:dyDescent="0.25">
      <c r="A7" s="719" t="s">
        <v>858</v>
      </c>
      <c r="B7" s="820" t="s">
        <v>887</v>
      </c>
      <c r="C7" s="668">
        <v>9000</v>
      </c>
      <c r="D7" s="1047">
        <v>4824.96</v>
      </c>
      <c r="E7" s="682">
        <f t="shared" si="0"/>
        <v>4175.04</v>
      </c>
      <c r="F7" s="676"/>
      <c r="G7" s="653">
        <f>F3-F7</f>
        <v>0</v>
      </c>
      <c r="H7" s="613"/>
      <c r="I7" s="892"/>
      <c r="J7" s="892"/>
      <c r="K7" s="892"/>
      <c r="L7" s="932"/>
    </row>
    <row r="8" spans="1:12" ht="33.75" thickBot="1" x14ac:dyDescent="0.3">
      <c r="A8" s="720" t="s">
        <v>859</v>
      </c>
      <c r="B8" s="814" t="s">
        <v>888</v>
      </c>
      <c r="C8" s="830">
        <v>9000</v>
      </c>
      <c r="D8" s="1048">
        <v>4825.6899999999996</v>
      </c>
      <c r="E8" s="684">
        <f t="shared" si="0"/>
        <v>4174.3100000000004</v>
      </c>
      <c r="F8" s="674"/>
      <c r="G8" s="651">
        <f>F7-F8</f>
        <v>0</v>
      </c>
      <c r="H8" s="614"/>
      <c r="I8" s="892"/>
      <c r="J8" s="892"/>
      <c r="K8" s="892"/>
      <c r="L8" s="932"/>
    </row>
    <row r="9" spans="1:12" ht="33.75" thickTop="1" x14ac:dyDescent="0.25">
      <c r="A9" s="719" t="s">
        <v>855</v>
      </c>
      <c r="B9" s="821" t="s">
        <v>889</v>
      </c>
      <c r="C9" s="668">
        <v>9000</v>
      </c>
      <c r="D9" s="1050">
        <v>4834.4399999999996</v>
      </c>
      <c r="E9" s="682">
        <f t="shared" si="0"/>
        <v>4165.5600000000004</v>
      </c>
      <c r="F9" s="673"/>
      <c r="G9" s="650">
        <f>F3-F9</f>
        <v>0</v>
      </c>
      <c r="H9" s="604"/>
      <c r="I9" s="892"/>
      <c r="J9" s="892"/>
      <c r="K9" s="892"/>
      <c r="L9" s="932"/>
    </row>
    <row r="10" spans="1:12" ht="33.75" thickBot="1" x14ac:dyDescent="0.3">
      <c r="A10" s="720" t="s">
        <v>860</v>
      </c>
      <c r="B10" s="822" t="s">
        <v>890</v>
      </c>
      <c r="C10" s="829">
        <v>9000</v>
      </c>
      <c r="D10" s="1049">
        <v>4834.3</v>
      </c>
      <c r="E10" s="684">
        <f t="shared" si="0"/>
        <v>4165.7</v>
      </c>
      <c r="F10" s="675"/>
      <c r="G10" s="652">
        <f>F9-F10</f>
        <v>0</v>
      </c>
      <c r="H10" s="611"/>
      <c r="I10" s="892"/>
      <c r="J10" s="892"/>
      <c r="K10" s="892"/>
      <c r="L10" s="932"/>
    </row>
    <row r="11" spans="1:12" ht="33.75" thickTop="1" x14ac:dyDescent="0.25">
      <c r="A11" s="719" t="s">
        <v>856</v>
      </c>
      <c r="B11" s="820" t="s">
        <v>891</v>
      </c>
      <c r="C11" s="668">
        <v>9000</v>
      </c>
      <c r="D11" s="1047">
        <v>3718.49</v>
      </c>
      <c r="E11" s="682">
        <f t="shared" si="0"/>
        <v>5281.51</v>
      </c>
      <c r="F11" s="676"/>
      <c r="G11" s="653" t="s">
        <v>637</v>
      </c>
      <c r="H11" s="613"/>
      <c r="I11" s="891" t="s">
        <v>862</v>
      </c>
      <c r="J11" s="891">
        <v>2</v>
      </c>
      <c r="K11" s="891" t="s">
        <v>861</v>
      </c>
      <c r="L11" s="930">
        <v>15</v>
      </c>
    </row>
    <row r="12" spans="1:12" ht="33.75" thickBot="1" x14ac:dyDescent="0.3">
      <c r="A12" s="725" t="s">
        <v>857</v>
      </c>
      <c r="B12" s="860" t="s">
        <v>892</v>
      </c>
      <c r="C12" s="670">
        <v>9000</v>
      </c>
      <c r="D12" s="1051">
        <v>3716.77</v>
      </c>
      <c r="E12" s="683">
        <f t="shared" si="0"/>
        <v>5283.23</v>
      </c>
      <c r="F12" s="675"/>
      <c r="G12" s="652">
        <f>F11-F12</f>
        <v>0</v>
      </c>
      <c r="H12" s="611"/>
      <c r="I12" s="893"/>
      <c r="J12" s="893"/>
      <c r="K12" s="893"/>
      <c r="L12" s="931"/>
    </row>
    <row r="13" spans="1:12" ht="17.25" thickTop="1" x14ac:dyDescent="0.25">
      <c r="E13" s="634"/>
      <c r="F13" s="635"/>
    </row>
    <row r="14" spans="1:12" x14ac:dyDescent="0.25">
      <c r="F14" s="635"/>
    </row>
    <row r="15" spans="1:12" x14ac:dyDescent="0.25">
      <c r="F15" s="635"/>
    </row>
    <row r="16" spans="1:12" x14ac:dyDescent="0.25">
      <c r="F16" s="635"/>
    </row>
    <row r="17" spans="6:6" x14ac:dyDescent="0.25">
      <c r="F17" s="635"/>
    </row>
  </sheetData>
  <sheetProtection algorithmName="SHA-512" hashValue="AURfflkTrtAlDMa0XWrqudUKdqldAjKiz7a36fnfhxbrcqBOa0j8AHSfZg6PnJL3YvG4Z+vK4P22QveNkblc9A==" saltValue="PcrAP2z01ybHirD7JDxcug==" spinCount="100000" sheet="1" selectLockedCells="1"/>
  <mergeCells count="8">
    <mergeCell ref="K11:K12"/>
    <mergeCell ref="L11:L12"/>
    <mergeCell ref="I3:I10"/>
    <mergeCell ref="I11:I12"/>
    <mergeCell ref="J3:J10"/>
    <mergeCell ref="J11:J12"/>
    <mergeCell ref="K3:K10"/>
    <mergeCell ref="L3:L10"/>
  </mergeCells>
  <phoneticPr fontId="45" type="noConversion"/>
  <conditionalFormatting sqref="F3">
    <cfRule type="cellIs" dxfId="368" priority="22" stopIfTrue="1" operator="greaterThan">
      <formula>$E$3</formula>
    </cfRule>
  </conditionalFormatting>
  <conditionalFormatting sqref="F4">
    <cfRule type="cellIs" dxfId="367" priority="21" stopIfTrue="1" operator="greaterThan">
      <formula>$E$4</formula>
    </cfRule>
  </conditionalFormatting>
  <conditionalFormatting sqref="F5">
    <cfRule type="cellIs" dxfId="366" priority="20" stopIfTrue="1" operator="greaterThan">
      <formula>$E$5</formula>
    </cfRule>
  </conditionalFormatting>
  <conditionalFormatting sqref="F6">
    <cfRule type="cellIs" dxfId="365" priority="19" stopIfTrue="1" operator="greaterThan">
      <formula>$E$6</formula>
    </cfRule>
  </conditionalFormatting>
  <conditionalFormatting sqref="F7">
    <cfRule type="cellIs" dxfId="364" priority="18" stopIfTrue="1" operator="greaterThan">
      <formula>$E$7</formula>
    </cfRule>
  </conditionalFormatting>
  <conditionalFormatting sqref="F8">
    <cfRule type="cellIs" dxfId="363" priority="17" stopIfTrue="1" operator="greaterThan">
      <formula>$E$8</formula>
    </cfRule>
  </conditionalFormatting>
  <conditionalFormatting sqref="F9">
    <cfRule type="cellIs" dxfId="362" priority="16" stopIfTrue="1" operator="greaterThan">
      <formula>$E$9</formula>
    </cfRule>
  </conditionalFormatting>
  <conditionalFormatting sqref="F10">
    <cfRule type="cellIs" dxfId="361" priority="15" stopIfTrue="1" operator="greaterThan">
      <formula>$E$10</formula>
    </cfRule>
  </conditionalFormatting>
  <conditionalFormatting sqref="F11">
    <cfRule type="cellIs" dxfId="360" priority="14" stopIfTrue="1" operator="greaterThan">
      <formula>$E$11</formula>
    </cfRule>
  </conditionalFormatting>
  <conditionalFormatting sqref="F12">
    <cfRule type="cellIs" dxfId="359" priority="13" stopIfTrue="1" operator="greaterThan">
      <formula>$E$12</formula>
    </cfRule>
  </conditionalFormatting>
  <conditionalFormatting sqref="G4 G6 G8 G10 G12">
    <cfRule type="cellIs" dxfId="358" priority="26" stopIfTrue="1" operator="notBetween">
      <formula>2</formula>
      <formula>-2</formula>
    </cfRule>
  </conditionalFormatting>
  <conditionalFormatting sqref="H3:H12">
    <cfRule type="cellIs" dxfId="357" priority="28" stopIfTrue="1" operator="greaterThan">
      <formula>2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tabColor rgb="FFFFFF00"/>
  </sheetPr>
  <dimension ref="A1:L29"/>
  <sheetViews>
    <sheetView topLeftCell="A6" workbookViewId="0">
      <selection activeCell="F24" sqref="F24"/>
    </sheetView>
  </sheetViews>
  <sheetFormatPr defaultColWidth="10.28515625" defaultRowHeight="16.5" x14ac:dyDescent="0.25"/>
  <cols>
    <col min="1" max="1" width="27.7109375" style="619" customWidth="1"/>
    <col min="2" max="2" width="31.85546875" style="619" customWidth="1"/>
    <col min="3" max="3" width="23.7109375" style="619" customWidth="1"/>
    <col min="4" max="4" width="23.28515625" style="619" customWidth="1"/>
    <col min="5" max="5" width="28" style="619" customWidth="1"/>
    <col min="6" max="6" width="19.140625" style="619" customWidth="1"/>
    <col min="7" max="7" width="18.7109375" style="619" customWidth="1"/>
    <col min="8" max="8" width="17.28515625" style="619" customWidth="1"/>
    <col min="9" max="9" width="27.42578125" style="619" customWidth="1"/>
    <col min="10" max="10" width="12.7109375" style="619" customWidth="1"/>
    <col min="11" max="11" width="20" style="619" customWidth="1"/>
    <col min="12" max="12" width="18" style="619" customWidth="1"/>
    <col min="13" max="16384" width="10.28515625" style="619"/>
  </cols>
  <sheetData>
    <row r="1" spans="1:12" ht="28.5" thickBot="1" x14ac:dyDescent="0.45">
      <c r="A1" s="627" t="s">
        <v>643</v>
      </c>
      <c r="B1" s="620"/>
      <c r="C1" s="608"/>
      <c r="D1" s="620"/>
      <c r="E1" s="620"/>
      <c r="F1" s="620"/>
    </row>
    <row r="2" spans="1:12" ht="34.5" thickTop="1" thickBot="1" x14ac:dyDescent="0.3">
      <c r="A2" s="644" t="s">
        <v>702</v>
      </c>
      <c r="B2" s="661" t="s">
        <v>1038</v>
      </c>
      <c r="C2" s="621" t="s">
        <v>3</v>
      </c>
      <c r="D2" s="618" t="s">
        <v>1039</v>
      </c>
      <c r="E2" s="618" t="s">
        <v>760</v>
      </c>
      <c r="F2" s="623" t="s">
        <v>758</v>
      </c>
      <c r="G2" s="657" t="s">
        <v>2</v>
      </c>
      <c r="H2" s="654" t="s">
        <v>738</v>
      </c>
      <c r="I2" s="654" t="s">
        <v>4</v>
      </c>
      <c r="J2" s="621" t="s">
        <v>736</v>
      </c>
      <c r="K2" s="621" t="s">
        <v>704</v>
      </c>
      <c r="L2" s="672" t="s">
        <v>761</v>
      </c>
    </row>
    <row r="3" spans="1:12" ht="33.75" thickTop="1" x14ac:dyDescent="0.25">
      <c r="A3" s="719" t="s">
        <v>827</v>
      </c>
      <c r="B3" s="823" t="s">
        <v>895</v>
      </c>
      <c r="C3" s="668">
        <v>7000</v>
      </c>
      <c r="D3" s="1052">
        <v>2965.16</v>
      </c>
      <c r="E3" s="682">
        <f>C3-D3</f>
        <v>4034.84</v>
      </c>
      <c r="F3" s="673"/>
      <c r="G3" s="650" t="s">
        <v>639</v>
      </c>
      <c r="H3" s="604"/>
      <c r="I3" s="888" t="s">
        <v>703</v>
      </c>
      <c r="J3" s="891">
        <v>2</v>
      </c>
      <c r="K3" s="891" t="s">
        <v>864</v>
      </c>
      <c r="L3" s="930">
        <v>20</v>
      </c>
    </row>
    <row r="4" spans="1:12" ht="33.75" thickBot="1" x14ac:dyDescent="0.3">
      <c r="A4" s="720" t="s">
        <v>828</v>
      </c>
      <c r="B4" s="824" t="s">
        <v>896</v>
      </c>
      <c r="C4" s="669">
        <v>7000</v>
      </c>
      <c r="D4" s="1052">
        <v>2965.01</v>
      </c>
      <c r="E4" s="684">
        <f>C4-D4</f>
        <v>4034.99</v>
      </c>
      <c r="F4" s="674"/>
      <c r="G4" s="651">
        <f>F3-F4</f>
        <v>0</v>
      </c>
      <c r="H4" s="614"/>
      <c r="I4" s="889"/>
      <c r="J4" s="892"/>
      <c r="K4" s="892"/>
      <c r="L4" s="932"/>
    </row>
    <row r="5" spans="1:12" ht="33.75" thickTop="1" x14ac:dyDescent="0.25">
      <c r="A5" s="719" t="s">
        <v>829</v>
      </c>
      <c r="B5" s="823" t="s">
        <v>897</v>
      </c>
      <c r="C5" s="668">
        <v>7000</v>
      </c>
      <c r="D5" s="1052">
        <v>2969.31</v>
      </c>
      <c r="E5" s="682">
        <f t="shared" ref="E5:E24" si="0">C5-D5</f>
        <v>4030.69</v>
      </c>
      <c r="F5" s="673"/>
      <c r="G5" s="650">
        <f>F3-F5</f>
        <v>0</v>
      </c>
      <c r="H5" s="604"/>
      <c r="I5" s="889"/>
      <c r="J5" s="892"/>
      <c r="K5" s="892"/>
      <c r="L5" s="932"/>
    </row>
    <row r="6" spans="1:12" ht="33.75" thickBot="1" x14ac:dyDescent="0.3">
      <c r="A6" s="720" t="s">
        <v>830</v>
      </c>
      <c r="B6" s="825" t="s">
        <v>898</v>
      </c>
      <c r="C6" s="669">
        <v>7000</v>
      </c>
      <c r="D6" s="1052">
        <v>2968.08</v>
      </c>
      <c r="E6" s="684">
        <f t="shared" si="0"/>
        <v>4031.92</v>
      </c>
      <c r="F6" s="675"/>
      <c r="G6" s="652">
        <f>F5-F6</f>
        <v>0</v>
      </c>
      <c r="H6" s="611"/>
      <c r="I6" s="889"/>
      <c r="J6" s="892"/>
      <c r="K6" s="892"/>
      <c r="L6" s="932"/>
    </row>
    <row r="7" spans="1:12" ht="33.75" thickTop="1" x14ac:dyDescent="0.25">
      <c r="A7" s="719" t="s">
        <v>831</v>
      </c>
      <c r="B7" s="838" t="s">
        <v>899</v>
      </c>
      <c r="C7" s="668">
        <v>7000</v>
      </c>
      <c r="D7" s="1052">
        <v>2965.48</v>
      </c>
      <c r="E7" s="682">
        <f t="shared" si="0"/>
        <v>4034.52</v>
      </c>
      <c r="F7" s="676"/>
      <c r="G7" s="653">
        <f>F3-F7</f>
        <v>0</v>
      </c>
      <c r="H7" s="613"/>
      <c r="I7" s="889"/>
      <c r="J7" s="892"/>
      <c r="K7" s="892"/>
      <c r="L7" s="932"/>
    </row>
    <row r="8" spans="1:12" ht="33.75" thickBot="1" x14ac:dyDescent="0.3">
      <c r="A8" s="720" t="s">
        <v>832</v>
      </c>
      <c r="B8" s="824" t="s">
        <v>900</v>
      </c>
      <c r="C8" s="669">
        <v>7000</v>
      </c>
      <c r="D8" s="1052">
        <v>2965.08</v>
      </c>
      <c r="E8" s="684">
        <f t="shared" si="0"/>
        <v>4034.92</v>
      </c>
      <c r="F8" s="674"/>
      <c r="G8" s="651">
        <f>F7-F8</f>
        <v>0</v>
      </c>
      <c r="H8" s="614"/>
      <c r="I8" s="889"/>
      <c r="J8" s="892"/>
      <c r="K8" s="892"/>
      <c r="L8" s="932"/>
    </row>
    <row r="9" spans="1:12" ht="17.25" thickTop="1" x14ac:dyDescent="0.25">
      <c r="A9" s="719" t="s">
        <v>833</v>
      </c>
      <c r="B9" s="823" t="s">
        <v>901</v>
      </c>
      <c r="C9" s="668">
        <v>7000</v>
      </c>
      <c r="D9" s="1052">
        <v>2967.24</v>
      </c>
      <c r="E9" s="682">
        <f t="shared" si="0"/>
        <v>4032.76</v>
      </c>
      <c r="F9" s="673"/>
      <c r="G9" s="650">
        <f>F3-F9</f>
        <v>0</v>
      </c>
      <c r="H9" s="604"/>
      <c r="I9" s="889"/>
      <c r="J9" s="892"/>
      <c r="K9" s="892"/>
      <c r="L9" s="932"/>
    </row>
    <row r="10" spans="1:12" ht="17.25" thickBot="1" x14ac:dyDescent="0.3">
      <c r="A10" s="720" t="s">
        <v>834</v>
      </c>
      <c r="B10" s="825" t="s">
        <v>902</v>
      </c>
      <c r="C10" s="669">
        <v>7000</v>
      </c>
      <c r="D10" s="1052">
        <v>2967.14</v>
      </c>
      <c r="E10" s="684">
        <f t="shared" si="0"/>
        <v>4032.86</v>
      </c>
      <c r="F10" s="675"/>
      <c r="G10" s="652">
        <f>F9-F10</f>
        <v>0</v>
      </c>
      <c r="H10" s="611"/>
      <c r="I10" s="889"/>
      <c r="J10" s="892"/>
      <c r="K10" s="892"/>
      <c r="L10" s="932"/>
    </row>
    <row r="11" spans="1:12" ht="33.75" thickTop="1" x14ac:dyDescent="0.25">
      <c r="A11" s="721" t="s">
        <v>835</v>
      </c>
      <c r="B11" s="823" t="s">
        <v>903</v>
      </c>
      <c r="C11" s="668">
        <v>7000</v>
      </c>
      <c r="D11" s="1052">
        <v>2960.45</v>
      </c>
      <c r="E11" s="682">
        <f t="shared" si="0"/>
        <v>4039.55</v>
      </c>
      <c r="F11" s="676"/>
      <c r="G11" s="653">
        <f>F3-F11</f>
        <v>0</v>
      </c>
      <c r="H11" s="613"/>
      <c r="I11" s="889"/>
      <c r="J11" s="892"/>
      <c r="K11" s="892"/>
      <c r="L11" s="932"/>
    </row>
    <row r="12" spans="1:12" ht="33.75" thickBot="1" x14ac:dyDescent="0.3">
      <c r="A12" s="722" t="s">
        <v>836</v>
      </c>
      <c r="B12" s="825" t="s">
        <v>904</v>
      </c>
      <c r="C12" s="669">
        <v>7000</v>
      </c>
      <c r="D12" s="1052">
        <v>2960.42</v>
      </c>
      <c r="E12" s="684">
        <f t="shared" si="0"/>
        <v>4039.58</v>
      </c>
      <c r="F12" s="674"/>
      <c r="G12" s="651">
        <f>F11-F12</f>
        <v>0</v>
      </c>
      <c r="H12" s="614"/>
      <c r="I12" s="889"/>
      <c r="J12" s="892"/>
      <c r="K12" s="892"/>
      <c r="L12" s="932"/>
    </row>
    <row r="13" spans="1:12" ht="17.25" thickTop="1" x14ac:dyDescent="0.25">
      <c r="A13" s="719" t="s">
        <v>837</v>
      </c>
      <c r="B13" s="823" t="s">
        <v>905</v>
      </c>
      <c r="C13" s="668">
        <v>7000</v>
      </c>
      <c r="D13" s="1052">
        <v>2969.31</v>
      </c>
      <c r="E13" s="682">
        <f t="shared" si="0"/>
        <v>4030.69</v>
      </c>
      <c r="F13" s="673"/>
      <c r="G13" s="650">
        <f>F3-F13</f>
        <v>0</v>
      </c>
      <c r="H13" s="604"/>
      <c r="I13" s="889"/>
      <c r="J13" s="892"/>
      <c r="K13" s="892"/>
      <c r="L13" s="932"/>
    </row>
    <row r="14" spans="1:12" ht="17.25" thickBot="1" x14ac:dyDescent="0.3">
      <c r="A14" s="720" t="s">
        <v>838</v>
      </c>
      <c r="B14" s="824" t="s">
        <v>906</v>
      </c>
      <c r="C14" s="669">
        <v>7000</v>
      </c>
      <c r="D14" s="1052">
        <v>2969.75</v>
      </c>
      <c r="E14" s="684">
        <f t="shared" si="0"/>
        <v>4030.25</v>
      </c>
      <c r="F14" s="675"/>
      <c r="G14" s="652">
        <f>F13-F14</f>
        <v>0</v>
      </c>
      <c r="H14" s="611"/>
      <c r="I14" s="889"/>
      <c r="J14" s="892"/>
      <c r="K14" s="892"/>
      <c r="L14" s="932"/>
    </row>
    <row r="15" spans="1:12" ht="17.25" thickTop="1" x14ac:dyDescent="0.25">
      <c r="A15" s="719" t="s">
        <v>839</v>
      </c>
      <c r="B15" s="823" t="s">
        <v>907</v>
      </c>
      <c r="C15" s="668">
        <v>7000</v>
      </c>
      <c r="D15" s="1052">
        <v>2966.14</v>
      </c>
      <c r="E15" s="682">
        <f t="shared" si="0"/>
        <v>4033.86</v>
      </c>
      <c r="F15" s="673"/>
      <c r="G15" s="650">
        <f>F3-F15</f>
        <v>0</v>
      </c>
      <c r="H15" s="604"/>
      <c r="I15" s="889"/>
      <c r="J15" s="892"/>
      <c r="K15" s="892"/>
      <c r="L15" s="932"/>
    </row>
    <row r="16" spans="1:12" ht="17.25" thickBot="1" x14ac:dyDescent="0.3">
      <c r="A16" s="720" t="s">
        <v>840</v>
      </c>
      <c r="B16" s="824" t="s">
        <v>908</v>
      </c>
      <c r="C16" s="669">
        <v>7000</v>
      </c>
      <c r="D16" s="1052">
        <v>2965.35</v>
      </c>
      <c r="E16" s="684">
        <f t="shared" si="0"/>
        <v>4034.65</v>
      </c>
      <c r="F16" s="675"/>
      <c r="G16" s="652">
        <f>F15-F16</f>
        <v>0</v>
      </c>
      <c r="H16" s="611"/>
      <c r="I16" s="889"/>
      <c r="J16" s="892"/>
      <c r="K16" s="892"/>
      <c r="L16" s="932"/>
    </row>
    <row r="17" spans="1:12" ht="17.25" thickTop="1" x14ac:dyDescent="0.25">
      <c r="A17" s="719" t="s">
        <v>841</v>
      </c>
      <c r="B17" s="823" t="s">
        <v>909</v>
      </c>
      <c r="C17" s="668">
        <v>7000</v>
      </c>
      <c r="D17" s="1052">
        <v>2965.86</v>
      </c>
      <c r="E17" s="682">
        <f t="shared" si="0"/>
        <v>4034.14</v>
      </c>
      <c r="F17" s="676"/>
      <c r="G17" s="653">
        <f>F3-F17</f>
        <v>0</v>
      </c>
      <c r="H17" s="613"/>
      <c r="I17" s="889"/>
      <c r="J17" s="892"/>
      <c r="K17" s="892"/>
      <c r="L17" s="932"/>
    </row>
    <row r="18" spans="1:12" ht="17.25" thickBot="1" x14ac:dyDescent="0.3">
      <c r="A18" s="720" t="s">
        <v>842</v>
      </c>
      <c r="B18" s="824" t="s">
        <v>910</v>
      </c>
      <c r="C18" s="669">
        <v>7000</v>
      </c>
      <c r="D18" s="1052">
        <v>2965.9</v>
      </c>
      <c r="E18" s="684">
        <f t="shared" si="0"/>
        <v>4034.1</v>
      </c>
      <c r="F18" s="674"/>
      <c r="G18" s="651">
        <f>F17-F18</f>
        <v>0</v>
      </c>
      <c r="H18" s="614"/>
      <c r="I18" s="889"/>
      <c r="J18" s="892"/>
      <c r="K18" s="892"/>
      <c r="L18" s="932"/>
    </row>
    <row r="19" spans="1:12" ht="17.25" thickTop="1" x14ac:dyDescent="0.25">
      <c r="A19" s="719" t="s">
        <v>843</v>
      </c>
      <c r="B19" s="823" t="s">
        <v>911</v>
      </c>
      <c r="C19" s="668">
        <v>7000</v>
      </c>
      <c r="D19" s="1052">
        <v>2966.18</v>
      </c>
      <c r="E19" s="682">
        <f t="shared" si="0"/>
        <v>4033.82</v>
      </c>
      <c r="F19" s="673"/>
      <c r="G19" s="650">
        <f>F3-F19</f>
        <v>0</v>
      </c>
      <c r="H19" s="604"/>
      <c r="I19" s="889"/>
      <c r="J19" s="892"/>
      <c r="K19" s="892"/>
      <c r="L19" s="932"/>
    </row>
    <row r="20" spans="1:12" ht="17.25" thickBot="1" x14ac:dyDescent="0.3">
      <c r="A20" s="720" t="s">
        <v>844</v>
      </c>
      <c r="B20" s="824" t="s">
        <v>912</v>
      </c>
      <c r="C20" s="669">
        <v>7000</v>
      </c>
      <c r="D20" s="1052">
        <v>2966.86</v>
      </c>
      <c r="E20" s="684">
        <f t="shared" si="0"/>
        <v>4033.14</v>
      </c>
      <c r="F20" s="675"/>
      <c r="G20" s="652">
        <f>F19-F20</f>
        <v>0</v>
      </c>
      <c r="H20" s="611"/>
      <c r="I20" s="889"/>
      <c r="J20" s="892"/>
      <c r="K20" s="892"/>
      <c r="L20" s="932"/>
    </row>
    <row r="21" spans="1:12" ht="17.25" thickTop="1" x14ac:dyDescent="0.25">
      <c r="A21" s="721" t="s">
        <v>845</v>
      </c>
      <c r="B21" s="831" t="s">
        <v>913</v>
      </c>
      <c r="C21" s="668">
        <v>7000</v>
      </c>
      <c r="D21" s="1052">
        <v>2968.41</v>
      </c>
      <c r="E21" s="682">
        <f t="shared" si="0"/>
        <v>4031.59</v>
      </c>
      <c r="F21" s="673"/>
      <c r="G21" s="650">
        <f>F3-F21</f>
        <v>0</v>
      </c>
      <c r="H21" s="604"/>
      <c r="I21" s="889"/>
      <c r="J21" s="892"/>
      <c r="K21" s="892"/>
      <c r="L21" s="932"/>
    </row>
    <row r="22" spans="1:12" ht="17.25" thickBot="1" x14ac:dyDescent="0.3">
      <c r="A22" s="722" t="s">
        <v>846</v>
      </c>
      <c r="B22" s="832" t="s">
        <v>914</v>
      </c>
      <c r="C22" s="669">
        <v>7000</v>
      </c>
      <c r="D22" s="1052">
        <v>2967.34</v>
      </c>
      <c r="E22" s="684">
        <f t="shared" si="0"/>
        <v>4032.66</v>
      </c>
      <c r="F22" s="674"/>
      <c r="G22" s="651">
        <f>F21-F22</f>
        <v>0</v>
      </c>
      <c r="H22" s="614"/>
      <c r="I22" s="890"/>
      <c r="J22" s="893"/>
      <c r="K22" s="893"/>
      <c r="L22" s="931"/>
    </row>
    <row r="23" spans="1:12" ht="33.75" thickTop="1" x14ac:dyDescent="0.25">
      <c r="A23" s="721" t="s">
        <v>847</v>
      </c>
      <c r="B23" s="823" t="s">
        <v>915</v>
      </c>
      <c r="C23" s="668">
        <v>7000</v>
      </c>
      <c r="D23" s="1053">
        <v>3604.73</v>
      </c>
      <c r="E23" s="682">
        <f t="shared" si="0"/>
        <v>3395.27</v>
      </c>
      <c r="F23" s="673"/>
      <c r="G23" s="650" t="s">
        <v>639</v>
      </c>
      <c r="H23" s="604"/>
      <c r="I23" s="935" t="s">
        <v>51</v>
      </c>
      <c r="J23" s="937">
        <v>4</v>
      </c>
      <c r="K23" s="937" t="s">
        <v>706</v>
      </c>
      <c r="L23" s="933">
        <v>30</v>
      </c>
    </row>
    <row r="24" spans="1:12" ht="33.75" thickBot="1" x14ac:dyDescent="0.3">
      <c r="A24" s="722" t="s">
        <v>848</v>
      </c>
      <c r="B24" s="860" t="s">
        <v>916</v>
      </c>
      <c r="C24" s="670">
        <v>7000</v>
      </c>
      <c r="D24" s="1054">
        <v>3606.11</v>
      </c>
      <c r="E24" s="683">
        <f t="shared" si="0"/>
        <v>3393.89</v>
      </c>
      <c r="F24" s="671"/>
      <c r="G24" s="652">
        <f>F23-F24</f>
        <v>0</v>
      </c>
      <c r="H24" s="611"/>
      <c r="I24" s="936"/>
      <c r="J24" s="938"/>
      <c r="K24" s="938"/>
      <c r="L24" s="934"/>
    </row>
    <row r="25" spans="1:12" ht="17.25" thickTop="1" x14ac:dyDescent="0.25">
      <c r="E25" s="634"/>
      <c r="F25" s="635"/>
    </row>
    <row r="26" spans="1:12" x14ac:dyDescent="0.25">
      <c r="F26" s="635"/>
    </row>
    <row r="27" spans="1:12" x14ac:dyDescent="0.25">
      <c r="F27" s="635"/>
    </row>
    <row r="28" spans="1:12" x14ac:dyDescent="0.25">
      <c r="F28" s="635"/>
    </row>
    <row r="29" spans="1:12" x14ac:dyDescent="0.25">
      <c r="F29" s="635"/>
    </row>
  </sheetData>
  <sheetProtection algorithmName="SHA-512" hashValue="lguoUYftW6zCCCQuyCaJadTbLhNTwn5XDRcehIU+djYLw1pixvsyZ/Bu4skt2z7IFpYnx6w66zHDuLVByGpemA==" saltValue="dcvn3WZzUVKXMLil6yEh4A==" spinCount="100000" sheet="1" selectLockedCells="1"/>
  <mergeCells count="8">
    <mergeCell ref="L23:L24"/>
    <mergeCell ref="K3:K22"/>
    <mergeCell ref="L3:L22"/>
    <mergeCell ref="I3:I22"/>
    <mergeCell ref="I23:I24"/>
    <mergeCell ref="J3:J22"/>
    <mergeCell ref="J23:J24"/>
    <mergeCell ref="K23:K24"/>
  </mergeCells>
  <phoneticPr fontId="45" type="noConversion"/>
  <conditionalFormatting sqref="D24">
    <cfRule type="cellIs" dxfId="356" priority="65" stopIfTrue="1" operator="greaterThan">
      <formula>6000</formula>
    </cfRule>
  </conditionalFormatting>
  <conditionalFormatting sqref="F3">
    <cfRule type="cellIs" dxfId="355" priority="81" stopIfTrue="1" operator="greaterThan">
      <formula>$E$3</formula>
    </cfRule>
  </conditionalFormatting>
  <conditionalFormatting sqref="F4">
    <cfRule type="cellIs" dxfId="354" priority="82" stopIfTrue="1" operator="greaterThan">
      <formula>$E$4</formula>
    </cfRule>
  </conditionalFormatting>
  <conditionalFormatting sqref="F5">
    <cfRule type="cellIs" dxfId="353" priority="83" stopIfTrue="1" operator="greaterThan">
      <formula>$E$5</formula>
    </cfRule>
  </conditionalFormatting>
  <conditionalFormatting sqref="F6">
    <cfRule type="cellIs" dxfId="352" priority="84" stopIfTrue="1" operator="greaterThan">
      <formula>$E$6</formula>
    </cfRule>
  </conditionalFormatting>
  <conditionalFormatting sqref="F7">
    <cfRule type="cellIs" dxfId="351" priority="85" stopIfTrue="1" operator="greaterThan">
      <formula>$E$7</formula>
    </cfRule>
  </conditionalFormatting>
  <conditionalFormatting sqref="F8">
    <cfRule type="cellIs" dxfId="350" priority="86" stopIfTrue="1" operator="greaterThan">
      <formula>$E$8</formula>
    </cfRule>
  </conditionalFormatting>
  <conditionalFormatting sqref="F9">
    <cfRule type="cellIs" dxfId="349" priority="87" stopIfTrue="1" operator="greaterThan">
      <formula>$E$9</formula>
    </cfRule>
  </conditionalFormatting>
  <conditionalFormatting sqref="F10">
    <cfRule type="cellIs" dxfId="348" priority="88" stopIfTrue="1" operator="greaterThan">
      <formula>$E$10</formula>
    </cfRule>
  </conditionalFormatting>
  <conditionalFormatting sqref="F11">
    <cfRule type="cellIs" dxfId="347" priority="89" stopIfTrue="1" operator="greaterThan">
      <formula>$E$11</formula>
    </cfRule>
  </conditionalFormatting>
  <conditionalFormatting sqref="F12">
    <cfRule type="cellIs" dxfId="346" priority="90" stopIfTrue="1" operator="greaterThan">
      <formula>$E$12</formula>
    </cfRule>
  </conditionalFormatting>
  <conditionalFormatting sqref="F13">
    <cfRule type="cellIs" dxfId="345" priority="91" stopIfTrue="1" operator="greaterThan">
      <formula>$E$13</formula>
    </cfRule>
  </conditionalFormatting>
  <conditionalFormatting sqref="F14">
    <cfRule type="cellIs" dxfId="344" priority="92" stopIfTrue="1" operator="greaterThan">
      <formula>$E$14</formula>
    </cfRule>
  </conditionalFormatting>
  <conditionalFormatting sqref="F15">
    <cfRule type="cellIs" dxfId="343" priority="93" stopIfTrue="1" operator="greaterThan">
      <formula>$E$15</formula>
    </cfRule>
  </conditionalFormatting>
  <conditionalFormatting sqref="F16">
    <cfRule type="cellIs" dxfId="342" priority="94" stopIfTrue="1" operator="greaterThan">
      <formula>$E$16</formula>
    </cfRule>
  </conditionalFormatting>
  <conditionalFormatting sqref="F17">
    <cfRule type="cellIs" dxfId="341" priority="95" stopIfTrue="1" operator="greaterThan">
      <formula>$E$17</formula>
    </cfRule>
  </conditionalFormatting>
  <conditionalFormatting sqref="F18">
    <cfRule type="cellIs" dxfId="340" priority="96" stopIfTrue="1" operator="greaterThan">
      <formula>$E$18</formula>
    </cfRule>
  </conditionalFormatting>
  <conditionalFormatting sqref="F19">
    <cfRule type="cellIs" dxfId="339" priority="97" stopIfTrue="1" operator="greaterThan">
      <formula>$E$19</formula>
    </cfRule>
  </conditionalFormatting>
  <conditionalFormatting sqref="F20">
    <cfRule type="cellIs" dxfId="338" priority="98" stopIfTrue="1" operator="greaterThan">
      <formula>$E$20</formula>
    </cfRule>
  </conditionalFormatting>
  <conditionalFormatting sqref="F21">
    <cfRule type="cellIs" dxfId="337" priority="99" stopIfTrue="1" operator="greaterThan">
      <formula>$E$21</formula>
    </cfRule>
  </conditionalFormatting>
  <conditionalFormatting sqref="F22">
    <cfRule type="cellIs" dxfId="336" priority="100" stopIfTrue="1" operator="greaterThan">
      <formula>$E$22</formula>
    </cfRule>
  </conditionalFormatting>
  <conditionalFormatting sqref="F23">
    <cfRule type="cellIs" dxfId="335" priority="101" stopIfTrue="1" operator="greaterThan">
      <formula>$E$23</formula>
    </cfRule>
  </conditionalFormatting>
  <conditionalFormatting sqref="F24">
    <cfRule type="cellIs" dxfId="334" priority="102" stopIfTrue="1" operator="greaterThan">
      <formula>$E$24</formula>
    </cfRule>
  </conditionalFormatting>
  <conditionalFormatting sqref="G4 G6 G8 G10 G12 G14 G16 G18 G20 G22">
    <cfRule type="cellIs" dxfId="333" priority="72" stopIfTrue="1" operator="notBetween">
      <formula>2</formula>
      <formula>-2</formula>
    </cfRule>
  </conditionalFormatting>
  <conditionalFormatting sqref="G5 G7 G9 G11 G13 G15 G17 G19 G21">
    <cfRule type="cellIs" dxfId="332" priority="71" stopIfTrue="1" operator="notBetween">
      <formula>10</formula>
      <formula>-10</formula>
    </cfRule>
  </conditionalFormatting>
  <conditionalFormatting sqref="G24">
    <cfRule type="cellIs" dxfId="331" priority="74" stopIfTrue="1" operator="notBetween">
      <formula>250</formula>
      <formula>-250</formula>
    </cfRule>
  </conditionalFormatting>
  <conditionalFormatting sqref="H3:H22">
    <cfRule type="cellIs" dxfId="330" priority="60" stopIfTrue="1" operator="greaterThan">
      <formula>2</formula>
    </cfRule>
  </conditionalFormatting>
  <conditionalFormatting sqref="H23:H24">
    <cfRule type="cellIs" dxfId="329" priority="67" stopIfTrue="1" operator="greaterThan">
      <formula>4</formula>
    </cfRule>
  </conditionalFormatting>
  <conditionalFormatting sqref="D3:D22">
    <cfRule type="cellIs" dxfId="328" priority="1" stopIfTrue="1" operator="greaterThan">
      <formula>$E$4</formula>
    </cfRule>
  </conditionalFormatting>
  <conditionalFormatting sqref="D4">
    <cfRule type="cellIs" dxfId="327" priority="2" stopIfTrue="1" operator="greaterThan">
      <formula>$E$5</formula>
    </cfRule>
  </conditionalFormatting>
  <conditionalFormatting sqref="D5">
    <cfRule type="cellIs" dxfId="326" priority="3" stopIfTrue="1" operator="greaterThan">
      <formula>$E$6</formula>
    </cfRule>
  </conditionalFormatting>
  <conditionalFormatting sqref="D6">
    <cfRule type="cellIs" dxfId="325" priority="4" stopIfTrue="1" operator="greaterThan">
      <formula>$E$7</formula>
    </cfRule>
  </conditionalFormatting>
  <conditionalFormatting sqref="D7">
    <cfRule type="cellIs" dxfId="324" priority="5" stopIfTrue="1" operator="greaterThan">
      <formula>$E$8</formula>
    </cfRule>
  </conditionalFormatting>
  <conditionalFormatting sqref="D8">
    <cfRule type="cellIs" dxfId="323" priority="6" stopIfTrue="1" operator="greaterThan">
      <formula>$E$9</formula>
    </cfRule>
  </conditionalFormatting>
  <conditionalFormatting sqref="D9">
    <cfRule type="cellIs" dxfId="322" priority="7" stopIfTrue="1" operator="greaterThan">
      <formula>$E$10</formula>
    </cfRule>
  </conditionalFormatting>
  <conditionalFormatting sqref="D10">
    <cfRule type="cellIs" dxfId="321" priority="8" stopIfTrue="1" operator="greaterThan">
      <formula>$E$11</formula>
    </cfRule>
  </conditionalFormatting>
  <conditionalFormatting sqref="D11">
    <cfRule type="cellIs" dxfId="320" priority="9" stopIfTrue="1" operator="greaterThan">
      <formula>$E$12</formula>
    </cfRule>
  </conditionalFormatting>
  <conditionalFormatting sqref="D12">
    <cfRule type="cellIs" dxfId="319" priority="10" stopIfTrue="1" operator="greaterThan">
      <formula>$E$13</formula>
    </cfRule>
  </conditionalFormatting>
  <conditionalFormatting sqref="D13">
    <cfRule type="cellIs" dxfId="318" priority="11" stopIfTrue="1" operator="greaterThan">
      <formula>$E$14</formula>
    </cfRule>
  </conditionalFormatting>
  <conditionalFormatting sqref="D14">
    <cfRule type="cellIs" dxfId="317" priority="12" stopIfTrue="1" operator="greaterThan">
      <formula>$E$15</formula>
    </cfRule>
  </conditionalFormatting>
  <conditionalFormatting sqref="D15">
    <cfRule type="cellIs" dxfId="316" priority="13" stopIfTrue="1" operator="greaterThan">
      <formula>$E$16</formula>
    </cfRule>
  </conditionalFormatting>
  <conditionalFormatting sqref="D16">
    <cfRule type="cellIs" dxfId="315" priority="14" stopIfTrue="1" operator="greaterThan">
      <formula>$E$17</formula>
    </cfRule>
  </conditionalFormatting>
  <conditionalFormatting sqref="D17">
    <cfRule type="cellIs" dxfId="314" priority="15" stopIfTrue="1" operator="greaterThan">
      <formula>$E$18</formula>
    </cfRule>
  </conditionalFormatting>
  <conditionalFormatting sqref="D18">
    <cfRule type="cellIs" dxfId="313" priority="16" stopIfTrue="1" operator="greaterThan">
      <formula>$E$19</formula>
    </cfRule>
  </conditionalFormatting>
  <conditionalFormatting sqref="D19">
    <cfRule type="cellIs" dxfId="312" priority="17" stopIfTrue="1" operator="greaterThan">
      <formula>$E$20</formula>
    </cfRule>
  </conditionalFormatting>
  <conditionalFormatting sqref="D20">
    <cfRule type="cellIs" dxfId="311" priority="18" stopIfTrue="1" operator="greaterThan">
      <formula>$E$21</formula>
    </cfRule>
  </conditionalFormatting>
  <conditionalFormatting sqref="D21">
    <cfRule type="cellIs" dxfId="310" priority="19" stopIfTrue="1" operator="greaterThan">
      <formula>$E$22</formula>
    </cfRule>
  </conditionalFormatting>
  <conditionalFormatting sqref="D22">
    <cfRule type="cellIs" dxfId="309" priority="20" stopIfTrue="1" operator="greaterThan">
      <formula>$E$23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4">
    <tabColor rgb="FFFFFF00"/>
  </sheetPr>
  <dimension ref="A1:L12"/>
  <sheetViews>
    <sheetView zoomScale="90" zoomScaleNormal="90" workbookViewId="0">
      <selection activeCell="F4" sqref="F4:F9"/>
    </sheetView>
  </sheetViews>
  <sheetFormatPr defaultRowHeight="12.75" x14ac:dyDescent="0.2"/>
  <cols>
    <col min="1" max="1" width="26.140625" customWidth="1"/>
    <col min="2" max="2" width="23.85546875" customWidth="1"/>
    <col min="3" max="3" width="23.5703125" customWidth="1"/>
    <col min="4" max="4" width="17.5703125" customWidth="1"/>
    <col min="5" max="5" width="29" customWidth="1"/>
    <col min="6" max="6" width="22.42578125" customWidth="1"/>
    <col min="7" max="7" width="11.140625" bestFit="1" customWidth="1"/>
    <col min="8" max="8" width="10.140625" customWidth="1"/>
    <col min="9" max="9" width="20" customWidth="1"/>
    <col min="10" max="10" width="14" customWidth="1"/>
    <col min="11" max="11" width="13.5703125" customWidth="1"/>
    <col min="12" max="12" width="26.28515625" customWidth="1"/>
  </cols>
  <sheetData>
    <row r="1" spans="1:12" ht="28.5" thickBot="1" x14ac:dyDescent="0.45">
      <c r="A1" s="627" t="s">
        <v>642</v>
      </c>
      <c r="B1" s="628"/>
      <c r="C1" s="620"/>
      <c r="D1" s="608"/>
      <c r="E1" s="620"/>
      <c r="F1" s="620"/>
      <c r="G1" s="620"/>
      <c r="H1" s="629"/>
      <c r="I1" s="620"/>
    </row>
    <row r="2" spans="1:12" ht="34.5" thickTop="1" thickBot="1" x14ac:dyDescent="0.25">
      <c r="A2" s="622" t="s">
        <v>657</v>
      </c>
      <c r="B2" s="679" t="s">
        <v>1038</v>
      </c>
      <c r="C2" s="621" t="s">
        <v>3</v>
      </c>
      <c r="D2" s="618" t="s">
        <v>1039</v>
      </c>
      <c r="E2" s="621" t="s">
        <v>760</v>
      </c>
      <c r="F2" s="623" t="s">
        <v>758</v>
      </c>
      <c r="G2" s="624" t="s">
        <v>2</v>
      </c>
      <c r="H2" s="621" t="s">
        <v>738</v>
      </c>
      <c r="I2" s="621" t="s">
        <v>4</v>
      </c>
      <c r="J2" s="621" t="s">
        <v>736</v>
      </c>
      <c r="K2" s="621" t="s">
        <v>705</v>
      </c>
      <c r="L2" s="672" t="s">
        <v>761</v>
      </c>
    </row>
    <row r="3" spans="1:12" ht="18" thickTop="1" thickBot="1" x14ac:dyDescent="0.3">
      <c r="A3" s="704" t="s">
        <v>43</v>
      </c>
      <c r="B3" s="842" t="s">
        <v>917</v>
      </c>
      <c r="C3" s="705">
        <v>6000</v>
      </c>
      <c r="D3" s="864">
        <v>1590.03</v>
      </c>
      <c r="E3" s="839">
        <f>C3-D3</f>
        <v>4409.97</v>
      </c>
      <c r="F3" s="604"/>
      <c r="G3" s="632" t="s">
        <v>637</v>
      </c>
      <c r="H3" s="616"/>
      <c r="I3" s="939" t="s">
        <v>1125</v>
      </c>
      <c r="J3" s="939">
        <v>4</v>
      </c>
      <c r="K3" s="891" t="s">
        <v>707</v>
      </c>
      <c r="L3" s="949">
        <v>30</v>
      </c>
    </row>
    <row r="4" spans="1:12" ht="18" thickTop="1" thickBot="1" x14ac:dyDescent="0.3">
      <c r="A4" s="666" t="s">
        <v>44</v>
      </c>
      <c r="B4" s="843" t="s">
        <v>918</v>
      </c>
      <c r="C4" s="705">
        <v>6000</v>
      </c>
      <c r="D4" s="883">
        <v>1617.4</v>
      </c>
      <c r="E4" s="841">
        <f t="shared" ref="E4:E9" si="0">C4-D4</f>
        <v>4382.6000000000004</v>
      </c>
      <c r="F4" s="606"/>
      <c r="G4" s="610">
        <f>F3-F4</f>
        <v>0</v>
      </c>
      <c r="H4" s="691"/>
      <c r="I4" s="940"/>
      <c r="J4" s="940"/>
      <c r="K4" s="940"/>
      <c r="L4" s="950"/>
    </row>
    <row r="5" spans="1:12" ht="17.25" thickTop="1" x14ac:dyDescent="0.25">
      <c r="A5" s="666" t="s">
        <v>45</v>
      </c>
      <c r="B5" s="843" t="s">
        <v>919</v>
      </c>
      <c r="C5" s="705">
        <v>6000</v>
      </c>
      <c r="D5" s="883">
        <v>1627.64</v>
      </c>
      <c r="E5" s="841">
        <f t="shared" si="0"/>
        <v>4372.3599999999997</v>
      </c>
      <c r="F5" s="606"/>
      <c r="G5" s="610">
        <f>F3-F5</f>
        <v>0</v>
      </c>
      <c r="H5" s="691"/>
      <c r="I5" s="940"/>
      <c r="J5" s="940"/>
      <c r="K5" s="940"/>
      <c r="L5" s="950"/>
    </row>
    <row r="6" spans="1:12" ht="16.5" x14ac:dyDescent="0.25">
      <c r="A6" s="666" t="s">
        <v>46</v>
      </c>
      <c r="B6" s="843" t="s">
        <v>920</v>
      </c>
      <c r="C6" s="664">
        <v>7000</v>
      </c>
      <c r="D6" s="883">
        <v>1620.19</v>
      </c>
      <c r="E6" s="841">
        <f t="shared" si="0"/>
        <v>5379.8099999999995</v>
      </c>
      <c r="F6" s="606"/>
      <c r="G6" s="610" t="s">
        <v>647</v>
      </c>
      <c r="H6" s="691"/>
      <c r="I6" s="941" t="s">
        <v>646</v>
      </c>
      <c r="J6" s="941">
        <v>4</v>
      </c>
      <c r="K6" s="948" t="s">
        <v>707</v>
      </c>
      <c r="L6" s="951">
        <v>20</v>
      </c>
    </row>
    <row r="7" spans="1:12" ht="16.5" x14ac:dyDescent="0.25">
      <c r="A7" s="666" t="s">
        <v>47</v>
      </c>
      <c r="B7" s="843" t="s">
        <v>921</v>
      </c>
      <c r="C7" s="664">
        <v>7000</v>
      </c>
      <c r="D7" s="883">
        <v>1582.48</v>
      </c>
      <c r="E7" s="841">
        <f t="shared" si="0"/>
        <v>5417.52</v>
      </c>
      <c r="F7" s="606"/>
      <c r="G7" s="610">
        <f>F6-F7</f>
        <v>0</v>
      </c>
      <c r="H7" s="691"/>
      <c r="I7" s="942"/>
      <c r="J7" s="942"/>
      <c r="K7" s="942"/>
      <c r="L7" s="952"/>
    </row>
    <row r="8" spans="1:12" ht="16.5" x14ac:dyDescent="0.25">
      <c r="A8" s="666" t="s">
        <v>48</v>
      </c>
      <c r="B8" s="843" t="s">
        <v>922</v>
      </c>
      <c r="C8" s="664">
        <v>7000</v>
      </c>
      <c r="D8" s="883">
        <v>1350.02</v>
      </c>
      <c r="E8" s="841">
        <f t="shared" si="0"/>
        <v>5649.98</v>
      </c>
      <c r="F8" s="606"/>
      <c r="G8" s="610" t="s">
        <v>637</v>
      </c>
      <c r="H8" s="691"/>
      <c r="I8" s="943" t="s">
        <v>646</v>
      </c>
      <c r="J8" s="943">
        <v>4</v>
      </c>
      <c r="K8" s="945" t="s">
        <v>707</v>
      </c>
      <c r="L8" s="946">
        <v>20</v>
      </c>
    </row>
    <row r="9" spans="1:12" ht="17.25" thickBot="1" x14ac:dyDescent="0.3">
      <c r="A9" s="667" t="s">
        <v>49</v>
      </c>
      <c r="B9" s="844" t="s">
        <v>923</v>
      </c>
      <c r="C9" s="665">
        <v>7000</v>
      </c>
      <c r="D9" s="865">
        <v>1264.1300000000001</v>
      </c>
      <c r="E9" s="840">
        <f t="shared" si="0"/>
        <v>5735.87</v>
      </c>
      <c r="F9" s="611"/>
      <c r="G9" s="630">
        <f>F8-F9</f>
        <v>0</v>
      </c>
      <c r="H9" s="612"/>
      <c r="I9" s="944"/>
      <c r="J9" s="944"/>
      <c r="K9" s="944"/>
      <c r="L9" s="947"/>
    </row>
    <row r="10" spans="1:12" ht="13.5" thickTop="1" x14ac:dyDescent="0.2"/>
    <row r="12" spans="1:12" x14ac:dyDescent="0.2">
      <c r="F12" s="257"/>
    </row>
  </sheetData>
  <sheetProtection algorithmName="SHA-512" hashValue="yXw6CAogQpzF9vfHuOoVhqrZiJt7SYzzTpZ5mIj4+vXGSlvuvwKIEX9PLL+uSW+RTMw+bcRSo5ck1zQmWCxQMQ==" saltValue="JBMtQOOTqrS7pEYiMmESYw==" spinCount="100000" sheet="1" selectLockedCells="1"/>
  <mergeCells count="12">
    <mergeCell ref="K8:K9"/>
    <mergeCell ref="L8:L9"/>
    <mergeCell ref="K3:K5"/>
    <mergeCell ref="K6:K7"/>
    <mergeCell ref="L3:L5"/>
    <mergeCell ref="L6:L7"/>
    <mergeCell ref="I3:I5"/>
    <mergeCell ref="I6:I7"/>
    <mergeCell ref="I8:I9"/>
    <mergeCell ref="J3:J5"/>
    <mergeCell ref="J6:J7"/>
    <mergeCell ref="J8:J9"/>
  </mergeCells>
  <phoneticPr fontId="45" type="noConversion"/>
  <conditionalFormatting sqref="F3">
    <cfRule type="cellIs" dxfId="308" priority="10" stopIfTrue="1" operator="greaterThan">
      <formula>$E$3</formula>
    </cfRule>
  </conditionalFormatting>
  <conditionalFormatting sqref="F4">
    <cfRule type="cellIs" dxfId="307" priority="11" stopIfTrue="1" operator="greaterThan">
      <formula>$E$4</formula>
    </cfRule>
  </conditionalFormatting>
  <conditionalFormatting sqref="F5">
    <cfRule type="cellIs" dxfId="306" priority="12" stopIfTrue="1" operator="greaterThan">
      <formula>$E$5</formula>
    </cfRule>
  </conditionalFormatting>
  <conditionalFormatting sqref="F6">
    <cfRule type="cellIs" dxfId="305" priority="13" stopIfTrue="1" operator="greaterThan">
      <formula>$E$6</formula>
    </cfRule>
  </conditionalFormatting>
  <conditionalFormatting sqref="F7">
    <cfRule type="cellIs" dxfId="304" priority="14" stopIfTrue="1" operator="greaterThan">
      <formula>$E$7</formula>
    </cfRule>
  </conditionalFormatting>
  <conditionalFormatting sqref="F8">
    <cfRule type="cellIs" dxfId="303" priority="15" stopIfTrue="1" operator="greaterThan">
      <formula>$E$8</formula>
    </cfRule>
  </conditionalFormatting>
  <conditionalFormatting sqref="F9">
    <cfRule type="cellIs" dxfId="302" priority="16" stopIfTrue="1" operator="greaterThan">
      <formula>$E$9</formula>
    </cfRule>
  </conditionalFormatting>
  <conditionalFormatting sqref="G4:G5 G7 G9">
    <cfRule type="cellIs" dxfId="301" priority="8" stopIfTrue="1" operator="notBetween">
      <formula>500</formula>
      <formula>-500</formula>
    </cfRule>
  </conditionalFormatting>
  <conditionalFormatting sqref="H3:H9">
    <cfRule type="cellIs" dxfId="300" priority="17" stopIfTrue="1" operator="greaterThan">
      <formula>4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2">
    <tabColor rgb="FFFFFF00"/>
  </sheetPr>
  <dimension ref="A1:O11"/>
  <sheetViews>
    <sheetView workbookViewId="0">
      <selection activeCell="F4" sqref="F4:F10"/>
    </sheetView>
  </sheetViews>
  <sheetFormatPr defaultColWidth="10.28515625" defaultRowHeight="16.5" x14ac:dyDescent="0.25"/>
  <cols>
    <col min="1" max="1" width="26.28515625" style="620" customWidth="1"/>
    <col min="2" max="2" width="16.7109375" style="609" customWidth="1"/>
    <col min="3" max="3" width="26.28515625" style="643" customWidth="1"/>
    <col min="4" max="4" width="18.28515625" style="638" customWidth="1"/>
    <col min="5" max="5" width="27.5703125" style="609" customWidth="1"/>
    <col min="6" max="6" width="20.85546875" style="609" customWidth="1"/>
    <col min="7" max="7" width="13.42578125" style="608" customWidth="1"/>
    <col min="8" max="8" width="16.28515625" style="608" customWidth="1"/>
    <col min="9" max="9" width="16.42578125" style="620" customWidth="1"/>
    <col min="10" max="10" width="15.42578125" style="620" customWidth="1"/>
    <col min="11" max="11" width="18.5703125" style="620" customWidth="1"/>
    <col min="12" max="12" width="23" style="620" customWidth="1"/>
    <col min="13" max="16384" width="10.28515625" style="620"/>
  </cols>
  <sheetData>
    <row r="1" spans="1:15" ht="28.5" thickBot="1" x14ac:dyDescent="0.45">
      <c r="A1" s="627" t="s">
        <v>645</v>
      </c>
      <c r="B1" s="636"/>
      <c r="C1" s="637"/>
    </row>
    <row r="2" spans="1:15" s="640" customFormat="1" ht="34.5" thickTop="1" thickBot="1" x14ac:dyDescent="0.3">
      <c r="A2" s="644" t="s">
        <v>702</v>
      </c>
      <c r="B2" s="661" t="s">
        <v>1038</v>
      </c>
      <c r="C2" s="661" t="s">
        <v>3</v>
      </c>
      <c r="D2" s="661" t="s">
        <v>1039</v>
      </c>
      <c r="E2" s="661" t="s">
        <v>760</v>
      </c>
      <c r="F2" s="656" t="s">
        <v>758</v>
      </c>
      <c r="G2" s="657" t="s">
        <v>2</v>
      </c>
      <c r="H2" s="654" t="s">
        <v>738</v>
      </c>
      <c r="I2" s="654" t="s">
        <v>4</v>
      </c>
      <c r="J2" s="625" t="s">
        <v>736</v>
      </c>
      <c r="K2" s="625" t="s">
        <v>705</v>
      </c>
      <c r="L2" s="712" t="s">
        <v>761</v>
      </c>
    </row>
    <row r="3" spans="1:15" s="640" customFormat="1" ht="17.25" thickTop="1" x14ac:dyDescent="0.25">
      <c r="A3" s="662" t="s">
        <v>798</v>
      </c>
      <c r="B3" s="845" t="s">
        <v>931</v>
      </c>
      <c r="C3" s="706">
        <v>5000</v>
      </c>
      <c r="D3" s="1037">
        <v>2585.58</v>
      </c>
      <c r="E3" s="707">
        <f t="shared" ref="E3:E10" si="0">C3-D3</f>
        <v>2414.42</v>
      </c>
      <c r="F3" s="604"/>
      <c r="G3" s="632" t="s">
        <v>636</v>
      </c>
      <c r="H3" s="616"/>
      <c r="I3" s="1008" t="s">
        <v>653</v>
      </c>
      <c r="J3" s="1011">
        <v>2</v>
      </c>
      <c r="K3" s="891" t="s">
        <v>737</v>
      </c>
      <c r="L3" s="953">
        <v>20</v>
      </c>
    </row>
    <row r="4" spans="1:15" s="640" customFormat="1" x14ac:dyDescent="0.25">
      <c r="A4" s="677" t="s">
        <v>799</v>
      </c>
      <c r="B4" s="847" t="s">
        <v>924</v>
      </c>
      <c r="C4" s="708">
        <v>5000</v>
      </c>
      <c r="D4" s="1055">
        <v>2585.62</v>
      </c>
      <c r="E4" s="709">
        <f t="shared" si="0"/>
        <v>2414.38</v>
      </c>
      <c r="F4" s="606"/>
      <c r="G4" s="633">
        <f>F3-F4</f>
        <v>0</v>
      </c>
      <c r="H4" s="691"/>
      <c r="I4" s="1009"/>
      <c r="J4" s="1012"/>
      <c r="K4" s="892"/>
      <c r="L4" s="954"/>
      <c r="O4" s="641"/>
    </row>
    <row r="5" spans="1:15" s="640" customFormat="1" x14ac:dyDescent="0.25">
      <c r="A5" s="677" t="s">
        <v>800</v>
      </c>
      <c r="B5" s="847" t="s">
        <v>925</v>
      </c>
      <c r="C5" s="708">
        <v>5000</v>
      </c>
      <c r="D5" s="1055">
        <v>2760.73</v>
      </c>
      <c r="E5" s="709">
        <f t="shared" si="0"/>
        <v>2239.27</v>
      </c>
      <c r="F5" s="606"/>
      <c r="G5" s="610" t="s">
        <v>636</v>
      </c>
      <c r="H5" s="691"/>
      <c r="I5" s="1009" t="s">
        <v>653</v>
      </c>
      <c r="J5" s="1012"/>
      <c r="K5" s="892"/>
      <c r="L5" s="954"/>
    </row>
    <row r="6" spans="1:15" s="640" customFormat="1" ht="17.25" thickBot="1" x14ac:dyDescent="0.3">
      <c r="A6" s="663" t="s">
        <v>801</v>
      </c>
      <c r="B6" s="846" t="s">
        <v>926</v>
      </c>
      <c r="C6" s="710">
        <v>5000</v>
      </c>
      <c r="D6" s="1038">
        <v>2761.88</v>
      </c>
      <c r="E6" s="711">
        <f t="shared" si="0"/>
        <v>2238.12</v>
      </c>
      <c r="F6" s="611"/>
      <c r="G6" s="630">
        <f>F5-F6</f>
        <v>0</v>
      </c>
      <c r="H6" s="612"/>
      <c r="I6" s="1010"/>
      <c r="J6" s="1012"/>
      <c r="K6" s="892"/>
      <c r="L6" s="954"/>
      <c r="N6" s="642"/>
    </row>
    <row r="7" spans="1:15" s="640" customFormat="1" ht="17.25" thickTop="1" x14ac:dyDescent="0.25">
      <c r="A7" s="662" t="s">
        <v>802</v>
      </c>
      <c r="B7" s="845" t="s">
        <v>927</v>
      </c>
      <c r="C7" s="706">
        <v>5000</v>
      </c>
      <c r="D7" s="1037">
        <v>2489.46</v>
      </c>
      <c r="E7" s="707">
        <f t="shared" si="0"/>
        <v>2510.54</v>
      </c>
      <c r="F7" s="604"/>
      <c r="G7" s="632" t="s">
        <v>636</v>
      </c>
      <c r="H7" s="616"/>
      <c r="I7" s="1008" t="s">
        <v>653</v>
      </c>
      <c r="J7" s="1012"/>
      <c r="K7" s="892"/>
      <c r="L7" s="954"/>
    </row>
    <row r="8" spans="1:15" s="640" customFormat="1" x14ac:dyDescent="0.25">
      <c r="A8" s="677" t="s">
        <v>803</v>
      </c>
      <c r="B8" s="847" t="s">
        <v>928</v>
      </c>
      <c r="C8" s="708">
        <v>5000</v>
      </c>
      <c r="D8" s="1055">
        <v>2490.19</v>
      </c>
      <c r="E8" s="709">
        <f t="shared" si="0"/>
        <v>2509.81</v>
      </c>
      <c r="F8" s="606"/>
      <c r="G8" s="633">
        <f>F7-F8</f>
        <v>0</v>
      </c>
      <c r="H8" s="691"/>
      <c r="I8" s="1009"/>
      <c r="J8" s="1012"/>
      <c r="K8" s="892"/>
      <c r="L8" s="954"/>
      <c r="O8" s="641"/>
    </row>
    <row r="9" spans="1:15" s="640" customFormat="1" x14ac:dyDescent="0.25">
      <c r="A9" s="677" t="s">
        <v>804</v>
      </c>
      <c r="B9" s="847" t="s">
        <v>929</v>
      </c>
      <c r="C9" s="708">
        <v>5000</v>
      </c>
      <c r="D9" s="1055">
        <v>2736.65</v>
      </c>
      <c r="E9" s="709">
        <f t="shared" si="0"/>
        <v>2263.35</v>
      </c>
      <c r="F9" s="606"/>
      <c r="G9" s="610" t="s">
        <v>636</v>
      </c>
      <c r="H9" s="691"/>
      <c r="I9" s="1009" t="s">
        <v>653</v>
      </c>
      <c r="J9" s="1012"/>
      <c r="K9" s="892"/>
      <c r="L9" s="954"/>
    </row>
    <row r="10" spans="1:15" s="640" customFormat="1" ht="17.25" thickBot="1" x14ac:dyDescent="0.3">
      <c r="A10" s="663" t="s">
        <v>805</v>
      </c>
      <c r="B10" s="846" t="s">
        <v>930</v>
      </c>
      <c r="C10" s="710">
        <v>5000</v>
      </c>
      <c r="D10" s="1038">
        <v>2735.89</v>
      </c>
      <c r="E10" s="711">
        <f t="shared" si="0"/>
        <v>2264.11</v>
      </c>
      <c r="F10" s="611"/>
      <c r="G10" s="630">
        <f>F9-F10</f>
        <v>0</v>
      </c>
      <c r="H10" s="612"/>
      <c r="I10" s="1010"/>
      <c r="J10" s="1013"/>
      <c r="K10" s="893"/>
      <c r="L10" s="955"/>
      <c r="N10" s="642"/>
    </row>
    <row r="11" spans="1:15" ht="17.25" thickTop="1" x14ac:dyDescent="0.25"/>
  </sheetData>
  <sheetProtection algorithmName="SHA-512" hashValue="3Q3liI3fji/KfvcHBoz92h4MV2Gck6BfbugIfVcF5qT/3/EMMf18dqAhKkd8SYEY6C1SkwBXyQdQnnkdf5vuZg==" saltValue="ZdYG8dkawNI4ZhiejHOKwg==" spinCount="100000" sheet="1" selectLockedCells="1"/>
  <mergeCells count="7">
    <mergeCell ref="K3:K10"/>
    <mergeCell ref="L3:L10"/>
    <mergeCell ref="I3:I4"/>
    <mergeCell ref="I5:I6"/>
    <mergeCell ref="I7:I8"/>
    <mergeCell ref="I9:I10"/>
    <mergeCell ref="J3:J10"/>
  </mergeCells>
  <phoneticPr fontId="35" type="noConversion"/>
  <conditionalFormatting sqref="F3">
    <cfRule type="cellIs" dxfId="299" priority="33" stopIfTrue="1" operator="greaterThan">
      <formula>$E$3</formula>
    </cfRule>
  </conditionalFormatting>
  <conditionalFormatting sqref="F4">
    <cfRule type="cellIs" dxfId="298" priority="34" stopIfTrue="1" operator="greaterThan">
      <formula>$E$4</formula>
    </cfRule>
  </conditionalFormatting>
  <conditionalFormatting sqref="F5">
    <cfRule type="cellIs" dxfId="297" priority="35" stopIfTrue="1" operator="greaterThan">
      <formula>$E$5</formula>
    </cfRule>
  </conditionalFormatting>
  <conditionalFormatting sqref="F6">
    <cfRule type="cellIs" dxfId="296" priority="36" stopIfTrue="1" operator="greaterThan">
      <formula>$E$6</formula>
    </cfRule>
  </conditionalFormatting>
  <conditionalFormatting sqref="F7">
    <cfRule type="cellIs" dxfId="295" priority="37" stopIfTrue="1" operator="greaterThan">
      <formula>$E$7</formula>
    </cfRule>
  </conditionalFormatting>
  <conditionalFormatting sqref="F8">
    <cfRule type="cellIs" dxfId="294" priority="38" stopIfTrue="1" operator="greaterThan">
      <formula>$E$8</formula>
    </cfRule>
  </conditionalFormatting>
  <conditionalFormatting sqref="F9">
    <cfRule type="cellIs" dxfId="293" priority="39" stopIfTrue="1" operator="greaterThan">
      <formula>$E$9</formula>
    </cfRule>
  </conditionalFormatting>
  <conditionalFormatting sqref="F10">
    <cfRule type="cellIs" dxfId="292" priority="40" stopIfTrue="1" operator="greaterThan">
      <formula>$E$10</formula>
    </cfRule>
  </conditionalFormatting>
  <conditionalFormatting sqref="G4 G6 G8 G10">
    <cfRule type="cellIs" dxfId="291" priority="30" stopIfTrue="1" operator="notBetween">
      <formula>-2</formula>
      <formula>2</formula>
    </cfRule>
  </conditionalFormatting>
  <conditionalFormatting sqref="H3:H10">
    <cfRule type="cellIs" dxfId="290" priority="24" stopIfTrue="1" operator="greaterThan">
      <formula>2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6">
    <tabColor rgb="FFFFFF00"/>
  </sheetPr>
  <dimension ref="A1:O31"/>
  <sheetViews>
    <sheetView workbookViewId="0">
      <selection activeCell="F30" sqref="F3:F30"/>
    </sheetView>
  </sheetViews>
  <sheetFormatPr defaultColWidth="10.28515625" defaultRowHeight="16.5" x14ac:dyDescent="0.25"/>
  <cols>
    <col min="1" max="1" width="28.28515625" style="620" customWidth="1"/>
    <col min="2" max="2" width="19.28515625" style="609" customWidth="1"/>
    <col min="3" max="3" width="24.42578125" style="643" customWidth="1"/>
    <col min="4" max="4" width="24" style="638" customWidth="1"/>
    <col min="5" max="5" width="27" style="609" customWidth="1"/>
    <col min="6" max="6" width="19.7109375" style="609" customWidth="1"/>
    <col min="7" max="7" width="16.5703125" style="639" customWidth="1"/>
    <col min="8" max="8" width="9.140625" style="608" customWidth="1"/>
    <col min="9" max="9" width="16.85546875" style="620" customWidth="1"/>
    <col min="10" max="10" width="15" style="620" customWidth="1"/>
    <col min="11" max="11" width="17.7109375" style="620" customWidth="1"/>
    <col min="12" max="12" width="22.42578125" style="620" customWidth="1"/>
    <col min="13" max="16384" width="10.28515625" style="620"/>
  </cols>
  <sheetData>
    <row r="1" spans="1:15" ht="28.5" thickBot="1" x14ac:dyDescent="0.45">
      <c r="A1" s="627" t="s">
        <v>644</v>
      </c>
      <c r="B1" s="636"/>
      <c r="C1" s="637"/>
    </row>
    <row r="2" spans="1:15" s="640" customFormat="1" ht="34.5" thickTop="1" thickBot="1" x14ac:dyDescent="0.3">
      <c r="A2" s="644" t="s">
        <v>702</v>
      </c>
      <c r="B2" s="661" t="s">
        <v>1038</v>
      </c>
      <c r="C2" s="621" t="s">
        <v>3</v>
      </c>
      <c r="D2" s="621" t="s">
        <v>1039</v>
      </c>
      <c r="E2" s="621" t="s">
        <v>760</v>
      </c>
      <c r="F2" s="623" t="s">
        <v>758</v>
      </c>
      <c r="G2" s="657" t="s">
        <v>2</v>
      </c>
      <c r="H2" s="654" t="s">
        <v>738</v>
      </c>
      <c r="I2" s="654" t="s">
        <v>4</v>
      </c>
      <c r="J2" s="621" t="s">
        <v>736</v>
      </c>
      <c r="K2" s="625" t="s">
        <v>705</v>
      </c>
      <c r="L2" s="631" t="s">
        <v>761</v>
      </c>
    </row>
    <row r="3" spans="1:15" s="640" customFormat="1" ht="17.25" thickTop="1" x14ac:dyDescent="0.25">
      <c r="A3" s="662" t="s">
        <v>709</v>
      </c>
      <c r="B3" s="826" t="s">
        <v>932</v>
      </c>
      <c r="C3" s="668">
        <v>5000</v>
      </c>
      <c r="D3" s="1037">
        <v>1641.47</v>
      </c>
      <c r="E3" s="685">
        <f>C3-D3</f>
        <v>3358.5299999999997</v>
      </c>
      <c r="F3" s="604"/>
      <c r="G3" s="632" t="s">
        <v>638</v>
      </c>
      <c r="H3" s="616"/>
      <c r="I3" s="956" t="s">
        <v>653</v>
      </c>
      <c r="J3" s="956">
        <v>4</v>
      </c>
      <c r="K3" s="891" t="s">
        <v>796</v>
      </c>
      <c r="L3" s="953">
        <v>15</v>
      </c>
    </row>
    <row r="4" spans="1:15" s="640" customFormat="1" x14ac:dyDescent="0.25">
      <c r="A4" s="677" t="s">
        <v>710</v>
      </c>
      <c r="B4" s="812" t="s">
        <v>933</v>
      </c>
      <c r="C4" s="678">
        <v>5000</v>
      </c>
      <c r="D4" s="1055">
        <v>1639.89</v>
      </c>
      <c r="E4" s="686">
        <f>C4-D4</f>
        <v>3360.1099999999997</v>
      </c>
      <c r="F4" s="606"/>
      <c r="G4" s="633">
        <f>F3-F4</f>
        <v>0</v>
      </c>
      <c r="H4" s="691"/>
      <c r="I4" s="959"/>
      <c r="J4" s="959"/>
      <c r="K4" s="892"/>
      <c r="L4" s="954"/>
      <c r="O4" s="641"/>
    </row>
    <row r="5" spans="1:15" s="640" customFormat="1" x14ac:dyDescent="0.25">
      <c r="A5" s="677" t="s">
        <v>1022</v>
      </c>
      <c r="B5" s="812" t="s">
        <v>934</v>
      </c>
      <c r="C5" s="848">
        <v>5000</v>
      </c>
      <c r="D5" s="1055">
        <v>2027.72</v>
      </c>
      <c r="E5" s="687">
        <f>C5-D5</f>
        <v>2972.2799999999997</v>
      </c>
      <c r="F5" s="606"/>
      <c r="G5" s="610" t="s">
        <v>56</v>
      </c>
      <c r="H5" s="691"/>
      <c r="I5" s="957" t="s">
        <v>653</v>
      </c>
      <c r="J5" s="957">
        <v>2</v>
      </c>
      <c r="K5" s="892"/>
      <c r="L5" s="954"/>
    </row>
    <row r="6" spans="1:15" s="640" customFormat="1" ht="17.25" thickBot="1" x14ac:dyDescent="0.3">
      <c r="A6" s="663" t="s">
        <v>711</v>
      </c>
      <c r="B6" s="813" t="s">
        <v>935</v>
      </c>
      <c r="C6" s="670">
        <v>5000</v>
      </c>
      <c r="D6" s="1038">
        <v>2026.07</v>
      </c>
      <c r="E6" s="688">
        <f>C6-D6</f>
        <v>2973.9300000000003</v>
      </c>
      <c r="F6" s="611"/>
      <c r="G6" s="630">
        <f>F5-F6</f>
        <v>0</v>
      </c>
      <c r="H6" s="612"/>
      <c r="I6" s="958"/>
      <c r="J6" s="958"/>
      <c r="K6" s="892"/>
      <c r="L6" s="954"/>
      <c r="N6" s="642"/>
    </row>
    <row r="7" spans="1:15" s="640" customFormat="1" ht="17.25" thickTop="1" x14ac:dyDescent="0.25">
      <c r="A7" s="662" t="s">
        <v>712</v>
      </c>
      <c r="B7" s="826" t="s">
        <v>936</v>
      </c>
      <c r="C7" s="668">
        <v>5000</v>
      </c>
      <c r="D7" s="1037">
        <v>1724.02</v>
      </c>
      <c r="E7" s="685">
        <f t="shared" ref="E7:E30" si="0">C7-D7</f>
        <v>3275.98</v>
      </c>
      <c r="F7" s="604"/>
      <c r="G7" s="632" t="s">
        <v>56</v>
      </c>
      <c r="H7" s="616"/>
      <c r="I7" s="956" t="s">
        <v>653</v>
      </c>
      <c r="J7" s="956">
        <v>4</v>
      </c>
      <c r="K7" s="892"/>
      <c r="L7" s="954"/>
    </row>
    <row r="8" spans="1:15" s="640" customFormat="1" x14ac:dyDescent="0.25">
      <c r="A8" s="677" t="s">
        <v>713</v>
      </c>
      <c r="B8" s="812" t="s">
        <v>937</v>
      </c>
      <c r="C8" s="678">
        <v>5000</v>
      </c>
      <c r="D8" s="1055">
        <v>1724.97</v>
      </c>
      <c r="E8" s="686">
        <f t="shared" si="0"/>
        <v>3275.0299999999997</v>
      </c>
      <c r="F8" s="606"/>
      <c r="G8" s="633">
        <f>F7-F8</f>
        <v>0</v>
      </c>
      <c r="H8" s="691"/>
      <c r="I8" s="957"/>
      <c r="J8" s="959"/>
      <c r="K8" s="892"/>
      <c r="L8" s="954"/>
      <c r="O8" s="641"/>
    </row>
    <row r="9" spans="1:15" s="640" customFormat="1" x14ac:dyDescent="0.25">
      <c r="A9" s="677" t="s">
        <v>714</v>
      </c>
      <c r="B9" s="812" t="s">
        <v>938</v>
      </c>
      <c r="C9" s="848">
        <v>5000</v>
      </c>
      <c r="D9" s="1055">
        <v>1894.22</v>
      </c>
      <c r="E9" s="687">
        <f t="shared" si="0"/>
        <v>3105.7799999999997</v>
      </c>
      <c r="F9" s="606"/>
      <c r="G9" s="610" t="s">
        <v>56</v>
      </c>
      <c r="H9" s="691"/>
      <c r="I9" s="957" t="s">
        <v>653</v>
      </c>
      <c r="J9" s="957">
        <v>2</v>
      </c>
      <c r="K9" s="892"/>
      <c r="L9" s="954"/>
    </row>
    <row r="10" spans="1:15" s="640" customFormat="1" ht="17.25" thickBot="1" x14ac:dyDescent="0.3">
      <c r="A10" s="663" t="s">
        <v>715</v>
      </c>
      <c r="B10" s="813" t="s">
        <v>939</v>
      </c>
      <c r="C10" s="670">
        <v>5000</v>
      </c>
      <c r="D10" s="1038">
        <v>1893.06</v>
      </c>
      <c r="E10" s="688">
        <f t="shared" si="0"/>
        <v>3106.94</v>
      </c>
      <c r="F10" s="611"/>
      <c r="G10" s="630">
        <f>F9-F10</f>
        <v>0</v>
      </c>
      <c r="H10" s="612"/>
      <c r="I10" s="958"/>
      <c r="J10" s="958"/>
      <c r="K10" s="892"/>
      <c r="L10" s="954"/>
      <c r="N10" s="642"/>
    </row>
    <row r="11" spans="1:15" s="640" customFormat="1" ht="17.25" thickTop="1" x14ac:dyDescent="0.25">
      <c r="A11" s="662" t="s">
        <v>716</v>
      </c>
      <c r="B11" s="826" t="s">
        <v>940</v>
      </c>
      <c r="C11" s="668">
        <v>5000</v>
      </c>
      <c r="D11" s="1037">
        <v>1704.26</v>
      </c>
      <c r="E11" s="685">
        <f t="shared" si="0"/>
        <v>3295.74</v>
      </c>
      <c r="F11" s="604"/>
      <c r="G11" s="632" t="s">
        <v>56</v>
      </c>
      <c r="H11" s="616"/>
      <c r="I11" s="956" t="s">
        <v>653</v>
      </c>
      <c r="J11" s="956">
        <v>4</v>
      </c>
      <c r="K11" s="892"/>
      <c r="L11" s="954"/>
    </row>
    <row r="12" spans="1:15" s="640" customFormat="1" x14ac:dyDescent="0.25">
      <c r="A12" s="677" t="s">
        <v>717</v>
      </c>
      <c r="B12" s="812" t="s">
        <v>941</v>
      </c>
      <c r="C12" s="678">
        <v>5000</v>
      </c>
      <c r="D12" s="1055">
        <v>1702.47</v>
      </c>
      <c r="E12" s="686">
        <f t="shared" si="0"/>
        <v>3297.5299999999997</v>
      </c>
      <c r="F12" s="606"/>
      <c r="G12" s="633">
        <f>F11-F12</f>
        <v>0</v>
      </c>
      <c r="H12" s="691"/>
      <c r="I12" s="957"/>
      <c r="J12" s="959"/>
      <c r="K12" s="892"/>
      <c r="L12" s="954"/>
      <c r="O12" s="641"/>
    </row>
    <row r="13" spans="1:15" s="640" customFormat="1" x14ac:dyDescent="0.25">
      <c r="A13" s="677" t="s">
        <v>718</v>
      </c>
      <c r="B13" s="812" t="s">
        <v>942</v>
      </c>
      <c r="C13" s="848">
        <v>5000</v>
      </c>
      <c r="D13" s="1055">
        <v>2039.21</v>
      </c>
      <c r="E13" s="687">
        <f t="shared" si="0"/>
        <v>2960.79</v>
      </c>
      <c r="F13" s="606"/>
      <c r="G13" s="610" t="s">
        <v>56</v>
      </c>
      <c r="H13" s="691"/>
      <c r="I13" s="957" t="s">
        <v>653</v>
      </c>
      <c r="J13" s="957">
        <v>2</v>
      </c>
      <c r="K13" s="892"/>
      <c r="L13" s="954"/>
    </row>
    <row r="14" spans="1:15" s="640" customFormat="1" ht="17.25" thickBot="1" x14ac:dyDescent="0.3">
      <c r="A14" s="663" t="s">
        <v>719</v>
      </c>
      <c r="B14" s="813" t="s">
        <v>943</v>
      </c>
      <c r="C14" s="670">
        <v>5000</v>
      </c>
      <c r="D14" s="1038">
        <v>2039.43</v>
      </c>
      <c r="E14" s="688">
        <f t="shared" si="0"/>
        <v>2960.5699999999997</v>
      </c>
      <c r="F14" s="611"/>
      <c r="G14" s="630">
        <f>F13-F14</f>
        <v>0</v>
      </c>
      <c r="H14" s="612"/>
      <c r="I14" s="958"/>
      <c r="J14" s="958"/>
      <c r="K14" s="892"/>
      <c r="L14" s="954"/>
      <c r="N14" s="642"/>
    </row>
    <row r="15" spans="1:15" s="640" customFormat="1" ht="17.25" thickTop="1" x14ac:dyDescent="0.25">
      <c r="A15" s="662" t="s">
        <v>720</v>
      </c>
      <c r="B15" s="826" t="s">
        <v>944</v>
      </c>
      <c r="C15" s="668">
        <v>5000</v>
      </c>
      <c r="D15" s="1037">
        <v>1652.13</v>
      </c>
      <c r="E15" s="685">
        <f t="shared" si="0"/>
        <v>3347.87</v>
      </c>
      <c r="F15" s="604"/>
      <c r="G15" s="632" t="s">
        <v>56</v>
      </c>
      <c r="H15" s="616"/>
      <c r="I15" s="956" t="s">
        <v>653</v>
      </c>
      <c r="J15" s="956">
        <v>4</v>
      </c>
      <c r="K15" s="892"/>
      <c r="L15" s="954"/>
    </row>
    <row r="16" spans="1:15" s="640" customFormat="1" x14ac:dyDescent="0.25">
      <c r="A16" s="677" t="s">
        <v>721</v>
      </c>
      <c r="B16" s="812" t="s">
        <v>945</v>
      </c>
      <c r="C16" s="678">
        <v>5000</v>
      </c>
      <c r="D16" s="1055">
        <v>1651.44</v>
      </c>
      <c r="E16" s="686">
        <f t="shared" si="0"/>
        <v>3348.56</v>
      </c>
      <c r="F16" s="606"/>
      <c r="G16" s="633">
        <f>F15-F16</f>
        <v>0</v>
      </c>
      <c r="H16" s="691"/>
      <c r="I16" s="957"/>
      <c r="J16" s="959"/>
      <c r="K16" s="892"/>
      <c r="L16" s="954"/>
      <c r="O16" s="641"/>
    </row>
    <row r="17" spans="1:15" s="640" customFormat="1" x14ac:dyDescent="0.25">
      <c r="A17" s="677" t="s">
        <v>722</v>
      </c>
      <c r="B17" s="812" t="s">
        <v>946</v>
      </c>
      <c r="C17" s="848">
        <v>5000</v>
      </c>
      <c r="D17" s="1055">
        <v>2029.91</v>
      </c>
      <c r="E17" s="687">
        <f t="shared" si="0"/>
        <v>2970.09</v>
      </c>
      <c r="F17" s="606"/>
      <c r="G17" s="610" t="s">
        <v>56</v>
      </c>
      <c r="H17" s="691"/>
      <c r="I17" s="957" t="s">
        <v>653</v>
      </c>
      <c r="J17" s="957">
        <v>2</v>
      </c>
      <c r="K17" s="892"/>
      <c r="L17" s="954"/>
    </row>
    <row r="18" spans="1:15" s="640" customFormat="1" ht="17.25" thickBot="1" x14ac:dyDescent="0.3">
      <c r="A18" s="663" t="s">
        <v>723</v>
      </c>
      <c r="B18" s="813" t="s">
        <v>947</v>
      </c>
      <c r="C18" s="670">
        <v>5000</v>
      </c>
      <c r="D18" s="1038">
        <v>2029.56</v>
      </c>
      <c r="E18" s="688">
        <f t="shared" si="0"/>
        <v>2970.44</v>
      </c>
      <c r="F18" s="611"/>
      <c r="G18" s="630">
        <f>F17-F18</f>
        <v>0</v>
      </c>
      <c r="H18" s="612"/>
      <c r="I18" s="958"/>
      <c r="J18" s="958"/>
      <c r="K18" s="892"/>
      <c r="L18" s="954"/>
      <c r="N18" s="642"/>
    </row>
    <row r="19" spans="1:15" s="640" customFormat="1" ht="17.25" thickTop="1" x14ac:dyDescent="0.25">
      <c r="A19" s="662" t="s">
        <v>724</v>
      </c>
      <c r="B19" s="826" t="s">
        <v>948</v>
      </c>
      <c r="C19" s="668">
        <v>5000</v>
      </c>
      <c r="D19" s="1037">
        <v>1875.22</v>
      </c>
      <c r="E19" s="685">
        <f t="shared" si="0"/>
        <v>3124.7799999999997</v>
      </c>
      <c r="F19" s="604"/>
      <c r="G19" s="632" t="s">
        <v>56</v>
      </c>
      <c r="H19" s="616"/>
      <c r="I19" s="956" t="s">
        <v>653</v>
      </c>
      <c r="J19" s="956">
        <v>4</v>
      </c>
      <c r="K19" s="892"/>
      <c r="L19" s="954"/>
    </row>
    <row r="20" spans="1:15" s="640" customFormat="1" x14ac:dyDescent="0.25">
      <c r="A20" s="677" t="s">
        <v>725</v>
      </c>
      <c r="B20" s="812" t="s">
        <v>949</v>
      </c>
      <c r="C20" s="678">
        <v>5000</v>
      </c>
      <c r="D20" s="1055">
        <v>1874.32</v>
      </c>
      <c r="E20" s="686">
        <f t="shared" si="0"/>
        <v>3125.6800000000003</v>
      </c>
      <c r="F20" s="606"/>
      <c r="G20" s="633">
        <f>F19-F20</f>
        <v>0</v>
      </c>
      <c r="H20" s="691"/>
      <c r="I20" s="957"/>
      <c r="J20" s="959"/>
      <c r="K20" s="892"/>
      <c r="L20" s="954"/>
      <c r="O20" s="641"/>
    </row>
    <row r="21" spans="1:15" s="640" customFormat="1" x14ac:dyDescent="0.25">
      <c r="A21" s="677" t="s">
        <v>726</v>
      </c>
      <c r="B21" s="812" t="s">
        <v>950</v>
      </c>
      <c r="C21" s="848">
        <v>5000</v>
      </c>
      <c r="D21" s="1055">
        <v>2139.5</v>
      </c>
      <c r="E21" s="687">
        <f t="shared" si="0"/>
        <v>2860.5</v>
      </c>
      <c r="F21" s="606"/>
      <c r="G21" s="610" t="s">
        <v>56</v>
      </c>
      <c r="H21" s="691"/>
      <c r="I21" s="957" t="s">
        <v>653</v>
      </c>
      <c r="J21" s="957">
        <v>2</v>
      </c>
      <c r="K21" s="892"/>
      <c r="L21" s="954"/>
    </row>
    <row r="22" spans="1:15" s="640" customFormat="1" ht="17.25" thickBot="1" x14ac:dyDescent="0.3">
      <c r="A22" s="663" t="s">
        <v>727</v>
      </c>
      <c r="B22" s="813" t="s">
        <v>951</v>
      </c>
      <c r="C22" s="670">
        <v>5000</v>
      </c>
      <c r="D22" s="1038">
        <v>2140.42</v>
      </c>
      <c r="E22" s="688">
        <f t="shared" si="0"/>
        <v>2859.58</v>
      </c>
      <c r="F22" s="611"/>
      <c r="G22" s="630">
        <f>F21-F22</f>
        <v>0</v>
      </c>
      <c r="H22" s="612"/>
      <c r="I22" s="958"/>
      <c r="J22" s="958"/>
      <c r="K22" s="892"/>
      <c r="L22" s="954"/>
      <c r="N22" s="642"/>
    </row>
    <row r="23" spans="1:15" s="640" customFormat="1" ht="17.25" thickTop="1" x14ac:dyDescent="0.25">
      <c r="A23" s="662" t="s">
        <v>728</v>
      </c>
      <c r="B23" s="826" t="s">
        <v>952</v>
      </c>
      <c r="C23" s="668">
        <v>5000</v>
      </c>
      <c r="D23" s="1037">
        <v>1682.86</v>
      </c>
      <c r="E23" s="685">
        <f t="shared" si="0"/>
        <v>3317.1400000000003</v>
      </c>
      <c r="F23" s="604"/>
      <c r="G23" s="632" t="s">
        <v>56</v>
      </c>
      <c r="H23" s="616"/>
      <c r="I23" s="956" t="s">
        <v>653</v>
      </c>
      <c r="J23" s="956">
        <v>4</v>
      </c>
      <c r="K23" s="892"/>
      <c r="L23" s="954"/>
    </row>
    <row r="24" spans="1:15" s="640" customFormat="1" x14ac:dyDescent="0.25">
      <c r="A24" s="677" t="s">
        <v>729</v>
      </c>
      <c r="B24" s="812" t="s">
        <v>953</v>
      </c>
      <c r="C24" s="678">
        <v>5000</v>
      </c>
      <c r="D24" s="1055">
        <v>1682.71</v>
      </c>
      <c r="E24" s="686">
        <f t="shared" si="0"/>
        <v>3317.29</v>
      </c>
      <c r="F24" s="606"/>
      <c r="G24" s="633">
        <f>F23-F24</f>
        <v>0</v>
      </c>
      <c r="H24" s="691"/>
      <c r="I24" s="957"/>
      <c r="J24" s="959"/>
      <c r="K24" s="892"/>
      <c r="L24" s="954"/>
      <c r="O24" s="641"/>
    </row>
    <row r="25" spans="1:15" s="640" customFormat="1" x14ac:dyDescent="0.25">
      <c r="A25" s="677" t="s">
        <v>730</v>
      </c>
      <c r="B25" s="812" t="s">
        <v>954</v>
      </c>
      <c r="C25" s="848">
        <v>5000</v>
      </c>
      <c r="D25" s="1055">
        <v>2057.09</v>
      </c>
      <c r="E25" s="687">
        <f t="shared" si="0"/>
        <v>2942.91</v>
      </c>
      <c r="F25" s="606"/>
      <c r="G25" s="610" t="s">
        <v>56</v>
      </c>
      <c r="H25" s="691"/>
      <c r="I25" s="957" t="s">
        <v>653</v>
      </c>
      <c r="J25" s="957">
        <v>2</v>
      </c>
      <c r="K25" s="892"/>
      <c r="L25" s="954"/>
    </row>
    <row r="26" spans="1:15" s="640" customFormat="1" ht="17.25" thickBot="1" x14ac:dyDescent="0.3">
      <c r="A26" s="663" t="s">
        <v>731</v>
      </c>
      <c r="B26" s="813" t="s">
        <v>955</v>
      </c>
      <c r="C26" s="670">
        <v>5000</v>
      </c>
      <c r="D26" s="1038">
        <v>2058.71</v>
      </c>
      <c r="E26" s="688">
        <f t="shared" si="0"/>
        <v>2941.29</v>
      </c>
      <c r="F26" s="611"/>
      <c r="G26" s="630">
        <f>F25-F26</f>
        <v>0</v>
      </c>
      <c r="H26" s="612"/>
      <c r="I26" s="958"/>
      <c r="J26" s="958"/>
      <c r="K26" s="892"/>
      <c r="L26" s="954"/>
      <c r="N26" s="642"/>
    </row>
    <row r="27" spans="1:15" s="640" customFormat="1" ht="17.25" thickTop="1" x14ac:dyDescent="0.25">
      <c r="A27" s="662" t="s">
        <v>732</v>
      </c>
      <c r="B27" s="826" t="s">
        <v>956</v>
      </c>
      <c r="C27" s="668">
        <v>5000</v>
      </c>
      <c r="D27" s="1037">
        <v>2812.8</v>
      </c>
      <c r="E27" s="685">
        <f t="shared" si="0"/>
        <v>2187.1999999999998</v>
      </c>
      <c r="F27" s="604"/>
      <c r="G27" s="632" t="s">
        <v>56</v>
      </c>
      <c r="H27" s="616"/>
      <c r="I27" s="956" t="s">
        <v>653</v>
      </c>
      <c r="J27" s="956">
        <v>4</v>
      </c>
      <c r="K27" s="892"/>
      <c r="L27" s="954"/>
    </row>
    <row r="28" spans="1:15" s="640" customFormat="1" x14ac:dyDescent="0.25">
      <c r="A28" s="677" t="s">
        <v>733</v>
      </c>
      <c r="B28" s="812" t="s">
        <v>957</v>
      </c>
      <c r="C28" s="678">
        <v>5000</v>
      </c>
      <c r="D28" s="1055">
        <v>2814.65</v>
      </c>
      <c r="E28" s="686">
        <f t="shared" si="0"/>
        <v>2185.35</v>
      </c>
      <c r="F28" s="606"/>
      <c r="G28" s="633">
        <f>F27-F28</f>
        <v>0</v>
      </c>
      <c r="H28" s="691"/>
      <c r="I28" s="957"/>
      <c r="J28" s="959"/>
      <c r="K28" s="892"/>
      <c r="L28" s="954"/>
      <c r="O28" s="641"/>
    </row>
    <row r="29" spans="1:15" s="640" customFormat="1" x14ac:dyDescent="0.25">
      <c r="A29" s="677" t="s">
        <v>734</v>
      </c>
      <c r="B29" s="812" t="s">
        <v>958</v>
      </c>
      <c r="C29" s="848">
        <v>5000</v>
      </c>
      <c r="D29" s="1055">
        <v>2224.17</v>
      </c>
      <c r="E29" s="687">
        <f t="shared" si="0"/>
        <v>2775.83</v>
      </c>
      <c r="F29" s="606"/>
      <c r="G29" s="610" t="s">
        <v>56</v>
      </c>
      <c r="H29" s="691"/>
      <c r="I29" s="957" t="s">
        <v>653</v>
      </c>
      <c r="J29" s="957">
        <v>2</v>
      </c>
      <c r="K29" s="892"/>
      <c r="L29" s="954"/>
    </row>
    <row r="30" spans="1:15" s="640" customFormat="1" ht="17.25" thickBot="1" x14ac:dyDescent="0.3">
      <c r="A30" s="663" t="s">
        <v>735</v>
      </c>
      <c r="B30" s="813" t="s">
        <v>959</v>
      </c>
      <c r="C30" s="670">
        <v>5000</v>
      </c>
      <c r="D30" s="1038">
        <v>2223.84</v>
      </c>
      <c r="E30" s="688">
        <f t="shared" si="0"/>
        <v>2776.16</v>
      </c>
      <c r="F30" s="611"/>
      <c r="G30" s="630">
        <f>F29-F30</f>
        <v>0</v>
      </c>
      <c r="H30" s="612"/>
      <c r="I30" s="958"/>
      <c r="J30" s="958"/>
      <c r="K30" s="893"/>
      <c r="L30" s="955"/>
      <c r="N30" s="642"/>
    </row>
    <row r="31" spans="1:15" ht="17.25" thickTop="1" x14ac:dyDescent="0.25"/>
  </sheetData>
  <sheetProtection algorithmName="SHA-512" hashValue="+BHKdBGMurHx6ECf/I0FdbaOVNGknUgy9NQhHPEvFgXgVCoCd3XD7vsIJwSOwmA8EXkQP+I4Tbv8tmt25fCrnQ==" saltValue="/tHPiGxHXIqOO9SIb32gvw==" spinCount="100000" sheet="1" selectLockedCells="1"/>
  <mergeCells count="30">
    <mergeCell ref="K3:K30"/>
    <mergeCell ref="L3:L30"/>
    <mergeCell ref="I27:I28"/>
    <mergeCell ref="I29:I30"/>
    <mergeCell ref="I19:I20"/>
    <mergeCell ref="I21:I22"/>
    <mergeCell ref="I23:I24"/>
    <mergeCell ref="I25:I26"/>
    <mergeCell ref="I11:I12"/>
    <mergeCell ref="I13:I14"/>
    <mergeCell ref="I15:I16"/>
    <mergeCell ref="I17:I18"/>
    <mergeCell ref="I3:I4"/>
    <mergeCell ref="I5:I6"/>
    <mergeCell ref="I7:I8"/>
    <mergeCell ref="I9:I10"/>
    <mergeCell ref="J3:J4"/>
    <mergeCell ref="J5:J6"/>
    <mergeCell ref="J7:J8"/>
    <mergeCell ref="J9:J10"/>
    <mergeCell ref="J11:J12"/>
    <mergeCell ref="J13:J14"/>
    <mergeCell ref="J15:J16"/>
    <mergeCell ref="J17:J18"/>
    <mergeCell ref="J27:J28"/>
    <mergeCell ref="J29:J30"/>
    <mergeCell ref="J19:J20"/>
    <mergeCell ref="J21:J22"/>
    <mergeCell ref="J23:J24"/>
    <mergeCell ref="J25:J26"/>
  </mergeCells>
  <phoneticPr fontId="35" type="noConversion"/>
  <conditionalFormatting sqref="F3">
    <cfRule type="cellIs" dxfId="289" priority="67" stopIfTrue="1" operator="greaterThan">
      <formula>$E$3</formula>
    </cfRule>
  </conditionalFormatting>
  <conditionalFormatting sqref="F4">
    <cfRule type="cellIs" dxfId="288" priority="68" stopIfTrue="1" operator="greaterThan">
      <formula>$E$4</formula>
    </cfRule>
  </conditionalFormatting>
  <conditionalFormatting sqref="F5">
    <cfRule type="cellIs" dxfId="287" priority="69" stopIfTrue="1" operator="greaterThan">
      <formula>$E$5</formula>
    </cfRule>
  </conditionalFormatting>
  <conditionalFormatting sqref="F6">
    <cfRule type="cellIs" dxfId="286" priority="70" stopIfTrue="1" operator="greaterThan">
      <formula>$E$6</formula>
    </cfRule>
  </conditionalFormatting>
  <conditionalFormatting sqref="F7">
    <cfRule type="cellIs" dxfId="285" priority="71" stopIfTrue="1" operator="greaterThan">
      <formula>$E$7</formula>
    </cfRule>
  </conditionalFormatting>
  <conditionalFormatting sqref="F8">
    <cfRule type="cellIs" dxfId="284" priority="72" stopIfTrue="1" operator="greaterThan">
      <formula>$E$8</formula>
    </cfRule>
  </conditionalFormatting>
  <conditionalFormatting sqref="F9">
    <cfRule type="cellIs" dxfId="283" priority="73" stopIfTrue="1" operator="greaterThan">
      <formula>$E$9</formula>
    </cfRule>
  </conditionalFormatting>
  <conditionalFormatting sqref="F10">
    <cfRule type="cellIs" dxfId="282" priority="74" stopIfTrue="1" operator="greaterThan">
      <formula>$E$10</formula>
    </cfRule>
  </conditionalFormatting>
  <conditionalFormatting sqref="F11">
    <cfRule type="cellIs" dxfId="281" priority="75" stopIfTrue="1" operator="greaterThan">
      <formula>$E$11</formula>
    </cfRule>
  </conditionalFormatting>
  <conditionalFormatting sqref="F12">
    <cfRule type="cellIs" dxfId="280" priority="76" stopIfTrue="1" operator="greaterThan">
      <formula>$E$12</formula>
    </cfRule>
  </conditionalFormatting>
  <conditionalFormatting sqref="F13">
    <cfRule type="cellIs" dxfId="279" priority="77" stopIfTrue="1" operator="greaterThan">
      <formula>$E$13</formula>
    </cfRule>
  </conditionalFormatting>
  <conditionalFormatting sqref="F14">
    <cfRule type="cellIs" dxfId="278" priority="78" stopIfTrue="1" operator="greaterThan">
      <formula>$E$14</formula>
    </cfRule>
  </conditionalFormatting>
  <conditionalFormatting sqref="F15">
    <cfRule type="cellIs" dxfId="277" priority="79" stopIfTrue="1" operator="greaterThan">
      <formula>$E$15</formula>
    </cfRule>
  </conditionalFormatting>
  <conditionalFormatting sqref="F16">
    <cfRule type="cellIs" dxfId="276" priority="80" stopIfTrue="1" operator="greaterThan">
      <formula>$E$16</formula>
    </cfRule>
  </conditionalFormatting>
  <conditionalFormatting sqref="F17">
    <cfRule type="cellIs" dxfId="275" priority="81" stopIfTrue="1" operator="greaterThan">
      <formula>$E$17</formula>
    </cfRule>
  </conditionalFormatting>
  <conditionalFormatting sqref="F18">
    <cfRule type="cellIs" dxfId="274" priority="82" stopIfTrue="1" operator="greaterThan">
      <formula>$E$18</formula>
    </cfRule>
  </conditionalFormatting>
  <conditionalFormatting sqref="F19">
    <cfRule type="cellIs" dxfId="273" priority="83" stopIfTrue="1" operator="greaterThan">
      <formula>$E$19</formula>
    </cfRule>
  </conditionalFormatting>
  <conditionalFormatting sqref="F20">
    <cfRule type="cellIs" dxfId="272" priority="84" stopIfTrue="1" operator="greaterThan">
      <formula>$E$20</formula>
    </cfRule>
  </conditionalFormatting>
  <conditionalFormatting sqref="F21">
    <cfRule type="cellIs" dxfId="271" priority="85" stopIfTrue="1" operator="greaterThan">
      <formula>$E$21</formula>
    </cfRule>
  </conditionalFormatting>
  <conditionalFormatting sqref="F22">
    <cfRule type="cellIs" dxfId="270" priority="86" stopIfTrue="1" operator="greaterThan">
      <formula>$E$22</formula>
    </cfRule>
  </conditionalFormatting>
  <conditionalFormatting sqref="F23">
    <cfRule type="cellIs" dxfId="269" priority="87" stopIfTrue="1" operator="greaterThan">
      <formula>$E$23</formula>
    </cfRule>
  </conditionalFormatting>
  <conditionalFormatting sqref="F24">
    <cfRule type="cellIs" dxfId="268" priority="88" stopIfTrue="1" operator="greaterThan">
      <formula>$E$24</formula>
    </cfRule>
  </conditionalFormatting>
  <conditionalFormatting sqref="F25">
    <cfRule type="cellIs" dxfId="267" priority="89" stopIfTrue="1" operator="greaterThan">
      <formula>$E$25</formula>
    </cfRule>
  </conditionalFormatting>
  <conditionalFormatting sqref="F26">
    <cfRule type="cellIs" dxfId="266" priority="90" stopIfTrue="1" operator="greaterThan">
      <formula>$E$26</formula>
    </cfRule>
  </conditionalFormatting>
  <conditionalFormatting sqref="F27">
    <cfRule type="cellIs" dxfId="265" priority="91" stopIfTrue="1" operator="greaterThan">
      <formula>$E$27</formula>
    </cfRule>
  </conditionalFormatting>
  <conditionalFormatting sqref="F28">
    <cfRule type="cellIs" dxfId="264" priority="92" stopIfTrue="1" operator="greaterThan">
      <formula>$E$28</formula>
    </cfRule>
  </conditionalFormatting>
  <conditionalFormatting sqref="F29">
    <cfRule type="cellIs" dxfId="263" priority="93" stopIfTrue="1" operator="greaterThan">
      <formula>$E$29</formula>
    </cfRule>
  </conditionalFormatting>
  <conditionalFormatting sqref="F30">
    <cfRule type="cellIs" dxfId="262" priority="94" stopIfTrue="1" operator="greaterThan">
      <formula>$E$30</formula>
    </cfRule>
  </conditionalFormatting>
  <conditionalFormatting sqref="G4 G6 G8 G10 G12 G14 G16 G18 G20 G22 G24 G26 G28 G30">
    <cfRule type="cellIs" dxfId="261" priority="64" stopIfTrue="1" operator="notBetween">
      <formula>-2</formula>
      <formula>2</formula>
    </cfRule>
  </conditionalFormatting>
  <conditionalFormatting sqref="H3:H30">
    <cfRule type="cellIs" dxfId="260" priority="62" stopIfTrue="1" operator="greaterThan">
      <formula>4</formula>
    </cfRule>
  </conditionalFormatting>
  <conditionalFormatting sqref="D3">
    <cfRule type="cellIs" dxfId="259" priority="14" stopIfTrue="1" operator="greaterThan">
      <formula>$E$4</formula>
    </cfRule>
  </conditionalFormatting>
  <conditionalFormatting sqref="D4:D5">
    <cfRule type="cellIs" dxfId="258" priority="13" stopIfTrue="1" operator="greaterThan">
      <formula>$E$5</formula>
    </cfRule>
  </conditionalFormatting>
  <conditionalFormatting sqref="D5">
    <cfRule type="cellIs" dxfId="257" priority="15" stopIfTrue="1" operator="greaterThan">
      <formula>$E$6</formula>
    </cfRule>
  </conditionalFormatting>
  <conditionalFormatting sqref="D6">
    <cfRule type="cellIs" dxfId="256" priority="16" stopIfTrue="1" operator="greaterThan">
      <formula>$E$7</formula>
    </cfRule>
  </conditionalFormatting>
  <conditionalFormatting sqref="D7">
    <cfRule type="cellIs" dxfId="255" priority="17" stopIfTrue="1" operator="greaterThan">
      <formula>$E$8</formula>
    </cfRule>
  </conditionalFormatting>
  <conditionalFormatting sqref="D8">
    <cfRule type="cellIs" dxfId="254" priority="18" stopIfTrue="1" operator="greaterThan">
      <formula>$E$9</formula>
    </cfRule>
  </conditionalFormatting>
  <conditionalFormatting sqref="D9">
    <cfRule type="cellIs" dxfId="253" priority="19" stopIfTrue="1" operator="greaterThan">
      <formula>$E$10</formula>
    </cfRule>
  </conditionalFormatting>
  <conditionalFormatting sqref="D10">
    <cfRule type="cellIs" dxfId="252" priority="20" stopIfTrue="1" operator="greaterThan">
      <formula>$E$11</formula>
    </cfRule>
  </conditionalFormatting>
  <conditionalFormatting sqref="D11">
    <cfRule type="cellIs" dxfId="251" priority="21" stopIfTrue="1" operator="greaterThan">
      <formula>$E$12</formula>
    </cfRule>
  </conditionalFormatting>
  <conditionalFormatting sqref="D12">
    <cfRule type="cellIs" dxfId="250" priority="22" stopIfTrue="1" operator="greaterThan">
      <formula>$E$13</formula>
    </cfRule>
  </conditionalFormatting>
  <conditionalFormatting sqref="D13">
    <cfRule type="cellIs" dxfId="249" priority="23" stopIfTrue="1" operator="greaterThan">
      <formula>$E$14</formula>
    </cfRule>
  </conditionalFormatting>
  <conditionalFormatting sqref="D14">
    <cfRule type="cellIs" dxfId="248" priority="24" stopIfTrue="1" operator="greaterThan">
      <formula>$E$15</formula>
    </cfRule>
  </conditionalFormatting>
  <conditionalFormatting sqref="D15">
    <cfRule type="cellIs" dxfId="247" priority="25" stopIfTrue="1" operator="greaterThan">
      <formula>$E$16</formula>
    </cfRule>
  </conditionalFormatting>
  <conditionalFormatting sqref="D16">
    <cfRule type="cellIs" dxfId="246" priority="26" stopIfTrue="1" operator="greaterThan">
      <formula>$E$17</formula>
    </cfRule>
  </conditionalFormatting>
  <conditionalFormatting sqref="D17">
    <cfRule type="cellIs" dxfId="245" priority="27" stopIfTrue="1" operator="greaterThan">
      <formula>$E$18</formula>
    </cfRule>
  </conditionalFormatting>
  <conditionalFormatting sqref="D18">
    <cfRule type="cellIs" dxfId="244" priority="28" stopIfTrue="1" operator="greaterThan">
      <formula>$E$19</formula>
    </cfRule>
  </conditionalFormatting>
  <conditionalFormatting sqref="D19">
    <cfRule type="cellIs" dxfId="243" priority="5" stopIfTrue="1" operator="greaterThan">
      <formula>$E$20</formula>
    </cfRule>
  </conditionalFormatting>
  <conditionalFormatting sqref="D20">
    <cfRule type="cellIs" dxfId="242" priority="6" stopIfTrue="1" operator="greaterThan">
      <formula>$E$21</formula>
    </cfRule>
  </conditionalFormatting>
  <conditionalFormatting sqref="D21">
    <cfRule type="cellIs" dxfId="241" priority="7" stopIfTrue="1" operator="greaterThan">
      <formula>$E$22</formula>
    </cfRule>
  </conditionalFormatting>
  <conditionalFormatting sqref="D22">
    <cfRule type="cellIs" dxfId="240" priority="8" stopIfTrue="1" operator="greaterThan">
      <formula>$E$23</formula>
    </cfRule>
  </conditionalFormatting>
  <conditionalFormatting sqref="D23">
    <cfRule type="cellIs" dxfId="239" priority="9" stopIfTrue="1" operator="greaterThan">
      <formula>$E$24</formula>
    </cfRule>
  </conditionalFormatting>
  <conditionalFormatting sqref="D24">
    <cfRule type="cellIs" dxfId="238" priority="10" stopIfTrue="1" operator="greaterThan">
      <formula>$E$25</formula>
    </cfRule>
  </conditionalFormatting>
  <conditionalFormatting sqref="D25">
    <cfRule type="cellIs" dxfId="237" priority="11" stopIfTrue="1" operator="greaterThan">
      <formula>$E$26</formula>
    </cfRule>
  </conditionalFormatting>
  <conditionalFormatting sqref="D26">
    <cfRule type="cellIs" dxfId="236" priority="12" stopIfTrue="1" operator="greaterThan">
      <formula>$E$27</formula>
    </cfRule>
  </conditionalFormatting>
  <conditionalFormatting sqref="D27">
    <cfRule type="cellIs" dxfId="235" priority="1" stopIfTrue="1" operator="greaterThan">
      <formula>$E$20</formula>
    </cfRule>
  </conditionalFormatting>
  <conditionalFormatting sqref="D28">
    <cfRule type="cellIs" dxfId="234" priority="2" stopIfTrue="1" operator="greaterThan">
      <formula>$E$21</formula>
    </cfRule>
  </conditionalFormatting>
  <conditionalFormatting sqref="D29">
    <cfRule type="cellIs" dxfId="233" priority="3" stopIfTrue="1" operator="greaterThan">
      <formula>$E$22</formula>
    </cfRule>
  </conditionalFormatting>
  <conditionalFormatting sqref="D30">
    <cfRule type="cellIs" dxfId="232" priority="4" stopIfTrue="1" operator="greaterThan">
      <formula>$E$23</formula>
    </cfRule>
  </conditionalFormatting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38</vt:i4>
      </vt:variant>
      <vt:variant>
        <vt:lpstr>具名範圍</vt:lpstr>
      </vt:variant>
      <vt:variant>
        <vt:i4>13</vt:i4>
      </vt:variant>
    </vt:vector>
  </HeadingPairs>
  <TitlesOfParts>
    <vt:vector size="51" baseType="lpstr">
      <vt:lpstr>Revision History</vt:lpstr>
      <vt:lpstr>Impedance</vt:lpstr>
      <vt:lpstr>PCIeX16</vt:lpstr>
      <vt:lpstr>DDI</vt:lpstr>
      <vt:lpstr>eDP</vt:lpstr>
      <vt:lpstr>LVDS</vt:lpstr>
      <vt:lpstr>VGA</vt:lpstr>
      <vt:lpstr>SATA</vt:lpstr>
      <vt:lpstr>PCIe</vt:lpstr>
      <vt:lpstr>USB</vt:lpstr>
      <vt:lpstr>LAN</vt:lpstr>
      <vt:lpstr>HD_Audio</vt:lpstr>
      <vt:lpstr>LPC</vt:lpstr>
      <vt:lpstr>eSPI</vt:lpstr>
      <vt:lpstr>USB4</vt:lpstr>
      <vt:lpstr>SMB</vt:lpstr>
      <vt:lpstr>Clock</vt:lpstr>
      <vt:lpstr>SPI</vt:lpstr>
      <vt:lpstr>GSPI</vt:lpstr>
      <vt:lpstr>DDR2 Clocks - 2L</vt:lpstr>
      <vt:lpstr>DDR2 Clocks - 4L</vt:lpstr>
      <vt:lpstr>DDR2 Command - 4L</vt:lpstr>
      <vt:lpstr>DDR2 Command - 8LTB</vt:lpstr>
      <vt:lpstr>DDR2 Command - 8LSS</vt:lpstr>
      <vt:lpstr>DDR2 Control - 4L</vt:lpstr>
      <vt:lpstr>DDR2 Strobes - 2x16_1R SODIMM</vt:lpstr>
      <vt:lpstr>DDR2 Data - 2x16_1R SODIMM</vt:lpstr>
      <vt:lpstr>DDR2 Command - 8LTB RS</vt:lpstr>
      <vt:lpstr>DDR2 Control - 4L RS</vt:lpstr>
      <vt:lpstr>DDR2 Control - 8LTB</vt:lpstr>
      <vt:lpstr>DDR2 Control - 8LSS</vt:lpstr>
      <vt:lpstr>DDR2 Strobes - 1x16</vt:lpstr>
      <vt:lpstr>DDR2 Strobes - 2x16</vt:lpstr>
      <vt:lpstr>DDR2 Strobes - 1x8</vt:lpstr>
      <vt:lpstr>DDR2 Data - 1x16</vt:lpstr>
      <vt:lpstr>DDR2 Data - 2x16</vt:lpstr>
      <vt:lpstr>DDR2 Data - 1x8</vt:lpstr>
      <vt:lpstr>DDR2Specs</vt:lpstr>
      <vt:lpstr>CtlMDU1Clk</vt:lpstr>
      <vt:lpstr>CtlMDU1Clkn</vt:lpstr>
      <vt:lpstr>CtlMDU2Clk</vt:lpstr>
      <vt:lpstr>CtlMDU2Clkn</vt:lpstr>
      <vt:lpstr>CtlMDU3Clk</vt:lpstr>
      <vt:lpstr>CtlMDU3Clkn</vt:lpstr>
      <vt:lpstr>CtlMDU4Clk</vt:lpstr>
      <vt:lpstr>CtlMDU4Clkn</vt:lpstr>
      <vt:lpstr>CtlPassFail</vt:lpstr>
      <vt:lpstr>CtlSODIMMClk</vt:lpstr>
      <vt:lpstr>CtlSODIMMClkn</vt:lpstr>
      <vt:lpstr>SDRAMDQSLen</vt:lpstr>
      <vt:lpstr>StrbTitle</vt:lpstr>
    </vt:vector>
  </TitlesOfParts>
  <Company>Intel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Puff Zhang</dc:creator>
  <cp:lastModifiedBy>Steve Jen (任聿信)</cp:lastModifiedBy>
  <cp:lastPrinted>2005-09-19T05:32:02Z</cp:lastPrinted>
  <dcterms:created xsi:type="dcterms:W3CDTF">2003-10-03T22:17:45Z</dcterms:created>
  <dcterms:modified xsi:type="dcterms:W3CDTF">2024-05-27T06:23:42Z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